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9435" windowHeight="7710" tabRatio="820" activeTab="0"/>
  </bookViews>
  <sheets>
    <sheet name="2.1 Stafróf" sheetId="1" r:id="rId1"/>
    <sheet name="2.2 Listi" sheetId="2" r:id="rId2"/>
    <sheet name="2.3 Kerfi" sheetId="3" r:id="rId3"/>
    <sheet name="3.1 Yfirlit 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. Aðrar fjárf." sheetId="11" r:id="rId11"/>
    <sheet name="7.1 Séreign þróun" sheetId="12" r:id="rId12"/>
  </sheets>
  <definedNames>
    <definedName name="_xlnm.Print_Area" localSheetId="5">'3.3 Sjóðs. '!$A$1:$AY$44</definedName>
    <definedName name="_xlnm.Print_Area" localSheetId="7">'4.2 Kennitölur (samtr)'!$A$1:$BI$50</definedName>
    <definedName name="_xlnm.Print_Area" localSheetId="9">'5.2 Kennitölur (séreign)'!$A$1:$AR$49</definedName>
    <definedName name="_xlnm.Print_Area" localSheetId="10">'6.1. Aðrar fjárf.'!$A$1:$CC$39</definedName>
    <definedName name="_xlnm.Print_Titles" localSheetId="3">'3.1 Yfirlit 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Samtryggingard.'!$A:$A,'4.1. Samtryggingard.'!$1:$4</definedName>
    <definedName name="_xlnm.Print_Titles" localSheetId="7">'4.2 Kennitölur (samtr)'!$A:$B</definedName>
    <definedName name="_xlnm.Print_Titles" localSheetId="8">'5.1. Séreignard.'!$A:$A,'5.1. Séreignard.'!$1:$5</definedName>
    <definedName name="_xlnm.Print_Titles" localSheetId="9">'5.2 Kennitölur (séreign)'!$A:$B</definedName>
    <definedName name="_xlnm.Print_Titles" localSheetId="10">'6.1. Aðrar fjárf.'!$A:$B</definedName>
  </definedNames>
  <calcPr fullCalcOnLoad="1"/>
</workbook>
</file>

<file path=xl/comments4.xml><?xml version="1.0" encoding="utf-8"?>
<comments xmlns="http://schemas.openxmlformats.org/spreadsheetml/2006/main">
  <authors>
    <author>Hei?a B. J?sefsd?ttir</author>
  </authors>
  <commentList>
    <comment ref="AY67" authorId="0">
      <text>
        <r>
          <rPr>
            <b/>
            <sz val="8"/>
            <rFont val="Tahoma"/>
            <family val="0"/>
          </rPr>
          <t>Heiða B. Jósefsdóttir:</t>
        </r>
        <r>
          <rPr>
            <sz val="8"/>
            <rFont val="Tahoma"/>
            <family val="0"/>
          </rPr>
          <t xml:space="preserve">
Aurajöfnun
</t>
        </r>
      </text>
    </comment>
  </commentList>
</comments>
</file>

<file path=xl/sharedStrings.xml><?xml version="1.0" encoding="utf-8"?>
<sst xmlns="http://schemas.openxmlformats.org/spreadsheetml/2006/main" count="2557" uniqueCount="555">
  <si>
    <t xml:space="preserve">Númer í </t>
  </si>
  <si>
    <t>stærðarröð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</si>
  <si>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</si>
  <si>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</si>
  <si>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</si>
  <si>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</si>
  <si>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</si>
  <si>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</si>
  <si>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</si>
  <si>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</si>
  <si>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</si>
  <si>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</si>
  <si>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</si>
  <si>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</si>
  <si>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</si>
  <si>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</si>
  <si>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</si>
  <si>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</si>
  <si>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</si>
  <si>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</si>
  <si>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</si>
  <si>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</si>
  <si>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</si>
  <si>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</si>
  <si>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</si>
  <si>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</si>
  <si>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</si>
  <si>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</si>
  <si>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</si>
  <si>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</si>
  <si>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</si>
  <si>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</si>
  <si>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</si>
  <si>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</si>
  <si>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</si>
  <si>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</si>
  <si>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</si>
  <si>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</si>
  <si>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</si>
  <si>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</si>
  <si>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</si>
  <si>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Framsýn</t>
  </si>
  <si>
    <t>Lífeyrissjóðurinn Lífiðn</t>
  </si>
  <si>
    <t>Lífeyrissjóðurinn Skjöldur</t>
  </si>
  <si>
    <t>Sameinaði lífeyrissjóðurinn</t>
  </si>
  <si>
    <t>Samvinnulífeyrissjóðurinn</t>
  </si>
  <si>
    <t>Söfnunarsjóður lífeyrisréttinda</t>
  </si>
  <si>
    <t xml:space="preserve">Hrein eign </t>
  </si>
  <si>
    <t>Aukning</t>
  </si>
  <si>
    <t>þús.kr.</t>
  </si>
  <si>
    <t>%</t>
  </si>
  <si>
    <t>3)</t>
  </si>
  <si>
    <t>1)</t>
  </si>
  <si>
    <t>2) 4)</t>
  </si>
  <si>
    <t>2)</t>
  </si>
  <si>
    <t>Skýringar:</t>
  </si>
  <si>
    <t xml:space="preserve">1) Ábyrgð annarra á skuldbindingum.  2) Tekur ekki við iðgjöldum. </t>
  </si>
  <si>
    <t xml:space="preserve"> </t>
  </si>
  <si>
    <t>1) 2)</t>
  </si>
  <si>
    <t>Samtals:</t>
  </si>
  <si>
    <t>Hlutfalls-</t>
  </si>
  <si>
    <t>Aldursháð-</t>
  </si>
  <si>
    <t>Fjárhæðir í þús. kr.</t>
  </si>
  <si>
    <t xml:space="preserve">Stigakerfi </t>
  </si>
  <si>
    <t xml:space="preserve">kerfi </t>
  </si>
  <si>
    <t xml:space="preserve">Séreign </t>
  </si>
  <si>
    <t xml:space="preserve">Samtals:   </t>
  </si>
  <si>
    <t>Stigakerfi:  Iðgjöld eru umreiknuð í stig, óháð aldri sjóðfélagans.  Hlutfallskerfi:  Lífeyrir er hlutfall af launum.</t>
  </si>
  <si>
    <t>Aldursháð kerfi: Iðgjöld gefa mismunandi stig eftir aldri sjóðfélagans.</t>
  </si>
  <si>
    <t>Lífeyrissj.</t>
  </si>
  <si>
    <t>Sameinaði</t>
  </si>
  <si>
    <t>Söfnunarsj.</t>
  </si>
  <si>
    <t>Samvinnu-</t>
  </si>
  <si>
    <t xml:space="preserve">Frjálsi </t>
  </si>
  <si>
    <t>Eftirlauna-</t>
  </si>
  <si>
    <t>Lífeyris-</t>
  </si>
  <si>
    <t xml:space="preserve">Íslenski </t>
  </si>
  <si>
    <t>Eftirlaunasj.</t>
  </si>
  <si>
    <t>Séreigna-</t>
  </si>
  <si>
    <t xml:space="preserve">ALLIR   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</si>
  <si>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</si>
  <si>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</si>
  <si>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</si>
  <si>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</si>
  <si>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</si>
  <si>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</si>
  <si>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</si>
  <si>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</si>
  <si>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</si>
  <si>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</si>
  <si>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</si>
  <si>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</si>
  <si>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</si>
  <si>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</si>
  <si>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</si>
  <si>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</si>
  <si>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</si>
  <si>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</si>
  <si>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</si>
  <si>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</si>
  <si>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</si>
  <si>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>Suðurlands</t>
  </si>
  <si>
    <t>Eimskipa-</t>
  </si>
  <si>
    <t>Flugvirkjaf.</t>
  </si>
  <si>
    <t>Bolungar-</t>
  </si>
  <si>
    <t>Rangæinga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</si>
  <si>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</si>
  <si>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</si>
  <si>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</si>
  <si>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</si>
  <si>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</si>
  <si>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</si>
  <si>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</si>
  <si>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</si>
  <si>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</si>
  <si>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</si>
  <si>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</si>
  <si>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stm. Vestm-</t>
  </si>
  <si>
    <t>stm. Rvík.-</t>
  </si>
  <si>
    <t>LÍFEYRISSJ.</t>
  </si>
  <si>
    <t>með ábyrgð</t>
  </si>
  <si>
    <t>án ábyrgðar</t>
  </si>
  <si>
    <t xml:space="preserve">manna  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</si>
  <si>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</si>
  <si>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</si>
  <si>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</si>
  <si>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</si>
  <si>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</si>
  <si>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</si>
  <si>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</si>
  <si>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fræðinga </t>
  </si>
  <si>
    <t>FÍA</t>
  </si>
  <si>
    <t>Búnaðarb.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</si>
  <si>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</si>
  <si>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</si>
  <si>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</si>
  <si>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</si>
  <si>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</si>
  <si>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</si>
  <si>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</si>
  <si>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</si>
  <si>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</si>
  <si>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</si>
  <si>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</si>
  <si>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</si>
  <si>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</si>
  <si>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</si>
  <si>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</si>
  <si>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</si>
  <si>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</si>
  <si>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</si>
  <si>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>eyjabæjar</t>
  </si>
  <si>
    <t xml:space="preserve">apóteks </t>
  </si>
  <si>
    <t xml:space="preserve">SAMTALS  </t>
  </si>
  <si>
    <t>annarra</t>
  </si>
  <si>
    <t>(2)</t>
  </si>
  <si>
    <t>B-deild</t>
  </si>
  <si>
    <t>A-deild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</si>
  <si>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</si>
  <si>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</si>
  <si>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</si>
  <si>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</si>
  <si>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</si>
  <si>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</si>
  <si>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</si>
  <si>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</si>
  <si>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</si>
  <si>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</si>
  <si>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</si>
  <si>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</si>
  <si>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</si>
  <si>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</si>
  <si>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</si>
  <si>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</si>
  <si>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</si>
  <si>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</si>
  <si>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</si>
  <si>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</si>
  <si>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</si>
  <si>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</si>
  <si>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</si>
  <si>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</si>
  <si>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</si>
  <si>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</si>
  <si>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</si>
  <si>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</si>
  <si>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</si>
  <si>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</si>
  <si>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</si>
  <si>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</si>
  <si>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</si>
  <si>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</si>
  <si>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</si>
  <si>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</si>
  <si>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</si>
  <si>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</si>
  <si>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</si>
  <si>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</si>
  <si>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</si>
  <si>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</si>
  <si>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</si>
  <si>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</si>
  <si>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</si>
  <si>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</si>
  <si>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</si>
  <si>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</si>
  <si>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</si>
  <si>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</si>
  <si>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</si>
  <si>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</si>
  <si>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</si>
  <si>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</si>
  <si>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</si>
  <si>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</si>
  <si>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</si>
  <si>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</si>
  <si>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>Eignir í ísl. kr. (%)</t>
  </si>
  <si>
    <t>Eignir í erl. gjaldmiðlum (%)</t>
  </si>
  <si>
    <t>Ellilífeyrir  (%)</t>
  </si>
  <si>
    <t>Örorkulífeyrir  (%)</t>
  </si>
  <si>
    <t>Makalífeyrir  (%)</t>
  </si>
  <si>
    <t>Barnalífeyrir  (%)</t>
  </si>
  <si>
    <t xml:space="preserve">         Samtals: </t>
  </si>
  <si>
    <t>Ýmsar athugasemdir:</t>
  </si>
  <si>
    <t xml:space="preserve">EIGNIR </t>
  </si>
  <si>
    <t xml:space="preserve">   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</si>
  <si>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</si>
  <si>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</si>
  <si>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</si>
  <si>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</si>
  <si>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</si>
  <si>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</si>
  <si>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</si>
  <si>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</si>
  <si>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</si>
  <si>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</si>
  <si>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</si>
  <si>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</si>
  <si>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</si>
  <si>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</si>
  <si>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</si>
  <si>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</si>
  <si>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</si>
  <si>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</si>
  <si>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</si>
  <si>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</si>
  <si>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</si>
  <si>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</si>
  <si>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</si>
  <si>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</si>
  <si>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</si>
  <si>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10"/>
        <rFont val="Times New Roman"/>
        <family val="1"/>
      </rPr>
      <t>Fyrirfr.gr.kostn.og áfallnar tekjur</t>
    </r>
  </si>
  <si>
    <t xml:space="preserve">EIGNIR SAMTALS      </t>
  </si>
  <si>
    <t>SKULDIR</t>
  </si>
  <si>
    <r>
      <t xml:space="preserve">  </t>
    </r>
    <r>
      <rPr>
        <b/>
        <sz val="10"/>
        <rFont val="Times New Roman"/>
        <family val="1"/>
      </rPr>
      <t>Skuldbindingar</t>
    </r>
  </si>
  <si>
    <r>
      <t xml:space="preserve">   </t>
    </r>
    <r>
      <rPr>
        <b/>
        <sz val="10"/>
        <rFont val="Times New Roman"/>
        <family val="1"/>
      </rPr>
      <t>Viðskiptaskuldir</t>
    </r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</si>
  <si>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</si>
  <si>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</si>
  <si>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</si>
  <si>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</si>
  <si>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</si>
  <si>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</si>
  <si>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</si>
  <si>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</si>
  <si>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</si>
  <si>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</si>
  <si>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</si>
  <si>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</si>
  <si>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</si>
  <si>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</si>
  <si>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</si>
  <si>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</si>
  <si>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</si>
  <si>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</si>
  <si>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</si>
  <si>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</si>
  <si>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</si>
  <si>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</si>
  <si>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</si>
  <si>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</si>
  <si>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</si>
  <si>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</si>
  <si>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</si>
  <si>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</si>
  <si>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</si>
  <si>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</si>
  <si>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</si>
  <si>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</si>
  <si>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</si>
  <si>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</si>
  <si>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</si>
  <si>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</si>
  <si>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</si>
  <si>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</si>
  <si>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</si>
  <si>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</si>
  <si>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</si>
  <si>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</si>
  <si>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</si>
  <si>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</si>
  <si>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</si>
  <si>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</si>
  <si>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</si>
  <si>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</si>
  <si>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</si>
  <si>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</si>
  <si>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</si>
  <si>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</si>
  <si>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</si>
  <si>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Fjárhæðir í millj. kr.</t>
  </si>
  <si>
    <t>Ríkisvíxlar og skuldabréf</t>
  </si>
  <si>
    <t xml:space="preserve">Önnur verðbréf </t>
  </si>
  <si>
    <t>Önnur skuldabréf</t>
  </si>
  <si>
    <t>Hlutabréf</t>
  </si>
  <si>
    <t>Skráð hlutabréf</t>
  </si>
  <si>
    <t>Útreikningur á kennitölum:</t>
  </si>
  <si>
    <t>Meðalstaða eigna við útreikn.</t>
  </si>
  <si>
    <t>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</si>
  <si>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</si>
  <si>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</si>
  <si>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</si>
  <si>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</si>
  <si>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</si>
  <si>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</si>
  <si>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</si>
  <si>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</si>
  <si>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</si>
  <si>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</si>
  <si>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</si>
  <si>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</si>
  <si>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</si>
  <si>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</si>
  <si>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</si>
  <si>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</si>
  <si>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</si>
  <si>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</si>
  <si>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</si>
  <si>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</si>
  <si>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</si>
  <si>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</si>
  <si>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</si>
  <si>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</si>
  <si>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</si>
  <si>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</si>
  <si>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</si>
  <si>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</si>
  <si>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</si>
  <si>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</si>
  <si>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</si>
  <si>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Líf 1</t>
  </si>
  <si>
    <t>Líf 2</t>
  </si>
  <si>
    <t>Tryggingar-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</si>
  <si>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</si>
  <si>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</si>
  <si>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</si>
  <si>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</si>
  <si>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</si>
  <si>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</si>
  <si>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</si>
  <si>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</si>
  <si>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</si>
  <si>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</si>
  <si>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</si>
  <si>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</si>
  <si>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</si>
  <si>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</si>
  <si>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</si>
  <si>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Skipting annarra fjárf.</t>
  </si>
  <si>
    <t>Skipting eftir gjaldm.</t>
  </si>
  <si>
    <t>Nafn</t>
  </si>
  <si>
    <t>deilda</t>
  </si>
  <si>
    <t xml:space="preserve">Fjöldi </t>
  </si>
  <si>
    <t>vogsbæjar</t>
  </si>
  <si>
    <t>Lífeyrissjóður starfsm. Kópavogsbæjar</t>
  </si>
  <si>
    <r>
      <t xml:space="preserve">SKULDIR SAMTALS    </t>
    </r>
    <r>
      <rPr>
        <i/>
        <sz val="10"/>
        <rFont val="Times New Roman"/>
        <family val="1"/>
      </rPr>
      <t xml:space="preserve">    </t>
    </r>
  </si>
  <si>
    <t/>
  </si>
  <si>
    <t xml:space="preserve">st. ríkisins </t>
  </si>
  <si>
    <t>lands</t>
  </si>
  <si>
    <t>eyja</t>
  </si>
  <si>
    <t>félags Ísl</t>
  </si>
  <si>
    <t>Framtíðarsýn 1</t>
  </si>
  <si>
    <t>Framtíðarsýn 2</t>
  </si>
  <si>
    <t>Samtrygginga-</t>
  </si>
  <si>
    <t>deild/leið I</t>
  </si>
  <si>
    <t>deild/leið II</t>
  </si>
  <si>
    <t>deild/leið III</t>
  </si>
  <si>
    <t>Ævisafn IV</t>
  </si>
  <si>
    <t>leið I</t>
  </si>
  <si>
    <t>leið II</t>
  </si>
  <si>
    <t>leið III</t>
  </si>
  <si>
    <t xml:space="preserve">deild </t>
  </si>
  <si>
    <t>Leið I</t>
  </si>
  <si>
    <t>Leið II</t>
  </si>
  <si>
    <t>Leið III</t>
  </si>
  <si>
    <t>kaupstaðar</t>
  </si>
  <si>
    <t>stm. Húsavíkur-</t>
  </si>
  <si>
    <t>Eignir</t>
  </si>
  <si>
    <t>Efnahagsreikningur</t>
  </si>
  <si>
    <t>Sjóðstreymi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</si>
  <si>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</si>
  <si>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</si>
  <si>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</si>
  <si>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</si>
  <si>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Skuldbindingar</t>
  </si>
  <si>
    <t>Áfallinn kostn. og f.fr.innh.tekjur</t>
  </si>
  <si>
    <t>1) 5)</t>
  </si>
  <si>
    <t>Markaðsskuldabréf</t>
  </si>
  <si>
    <t>Samtals</t>
  </si>
  <si>
    <t>Fjárfestingatekjur nettó (F)</t>
  </si>
  <si>
    <t>Rekstrarkostnaður  nettó (K)</t>
  </si>
  <si>
    <t xml:space="preserve"> á ávöxtun (A+B-(F-K))</t>
  </si>
  <si>
    <t>Hrein raunávöxtun (r)</t>
  </si>
  <si>
    <t>Óefnislegar eignir</t>
  </si>
  <si>
    <t>Fyrirfr.gr.kostn.og áfallnar tekjur</t>
  </si>
  <si>
    <t>Skuldir</t>
  </si>
  <si>
    <t>Hrein eign í árslok</t>
  </si>
  <si>
    <t>Eignir samtals</t>
  </si>
  <si>
    <t>Skuldir samtals</t>
  </si>
  <si>
    <t>lífeyrissjóðurinn</t>
  </si>
  <si>
    <t>Norðurlands</t>
  </si>
  <si>
    <t>Hrein eign til greiðslu lífeyris</t>
  </si>
  <si>
    <t>Allar deildir</t>
  </si>
  <si>
    <t>Eign</t>
  </si>
  <si>
    <t>Aðrir lífeyrissjóðir</t>
  </si>
  <si>
    <t>31.12.2002</t>
  </si>
  <si>
    <t>31.12.2001</t>
  </si>
  <si>
    <t>31.12.2000</t>
  </si>
  <si>
    <t>Sparisjóðir</t>
  </si>
  <si>
    <t>Líftryggingafélög</t>
  </si>
  <si>
    <t>Fjöldi þeirra sem greiddi iðgjöld að meðaltali á árinu</t>
  </si>
  <si>
    <t>Fjöldi þeirra sem fékk að meðaltali greiddan lífeyri á árinu</t>
  </si>
  <si>
    <t xml:space="preserve">    Séreign til viðbótartryggingarverndar*</t>
  </si>
  <si>
    <r>
      <t xml:space="preserve">Lífeyrissjóðir sem störfuðu sem hreinir séreignarsjóðir fyrir gildistöku laga nr. 129/1997 </t>
    </r>
    <r>
      <rPr>
        <b/>
        <vertAlign val="superscript"/>
        <sz val="10"/>
        <rFont val="Times New Roman"/>
        <family val="1"/>
      </rPr>
      <t>(1)</t>
    </r>
  </si>
  <si>
    <t xml:space="preserve">Hrein eign umfram heildarskuldb.       </t>
  </si>
  <si>
    <t xml:space="preserve">Hrein eign umfram áfallnar skuldb.    </t>
  </si>
  <si>
    <t xml:space="preserve">Hrein raunávöxtun                                </t>
  </si>
  <si>
    <t xml:space="preserve">          Samtals:                                       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</si>
  <si>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</si>
  <si>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</si>
  <si>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</si>
  <si>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 xml:space="preserve">Annar lífeyrir (%)                                  </t>
  </si>
  <si>
    <t xml:space="preserve">Lífeyrisbyrði                                       </t>
  </si>
  <si>
    <t xml:space="preserve">          Samtals:                                      </t>
  </si>
  <si>
    <t xml:space="preserve">Lífeyrisbyrði                                        </t>
  </si>
  <si>
    <t>Samtryggingardeildir</t>
  </si>
  <si>
    <t>Skýringar á kennitölum: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</si>
  <si>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</si>
  <si>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</si>
  <si>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</si>
  <si>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</si>
  <si>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8.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</si>
  <si>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</si>
  <si>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</si>
  <si>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 xml:space="preserve">      sjá skýringu í inngangi að kafla 4.</t>
  </si>
  <si>
    <t>sýn 1</t>
  </si>
  <si>
    <t>Framtíðar-</t>
  </si>
  <si>
    <t>sýn 2</t>
  </si>
  <si>
    <t xml:space="preserve">     *Þar af  vegna lágmarksiðgjalds (10%) </t>
  </si>
  <si>
    <t>Heildarfjöldi rétthafa í lok árs</t>
  </si>
  <si>
    <t>Bankar og verðbréfafyrirtæki</t>
  </si>
  <si>
    <t xml:space="preserve">Yfirlit um breytingu á hreinni </t>
  </si>
  <si>
    <t>eign til greiðslu lífeyris</t>
  </si>
  <si>
    <t>Yfirlit um breytingu á hreinni</t>
  </si>
  <si>
    <t xml:space="preserve"> 31.12.2003</t>
  </si>
  <si>
    <t>Afstemming</t>
  </si>
  <si>
    <t>Hrein eign</t>
  </si>
  <si>
    <t>Sjóður</t>
  </si>
  <si>
    <t>-</t>
  </si>
  <si>
    <t>Almenni lífeyrissjóðurinn</t>
  </si>
  <si>
    <t>Óskráðir ríkisvíxlar og skuldabréf</t>
  </si>
  <si>
    <t>Óskráð skuldabréf sveitafélaga</t>
  </si>
  <si>
    <t>Óskráð skuldabréf og víxlar lánastofnana</t>
  </si>
  <si>
    <t>Óskráð önnur verðbréf</t>
  </si>
  <si>
    <t>Fasteignaveðtrygð skuldabréf</t>
  </si>
  <si>
    <t>Fjárfestingar samtals</t>
  </si>
  <si>
    <t xml:space="preserve">   Viðskiptaskuldir</t>
  </si>
  <si>
    <r>
      <t xml:space="preserve">   </t>
    </r>
    <r>
      <rPr>
        <b/>
        <sz val="9"/>
        <rFont val="Times New Roman"/>
        <family val="1"/>
      </rPr>
      <t>Viðskiptaskuldir</t>
    </r>
  </si>
  <si>
    <t>(23)</t>
  </si>
  <si>
    <t>Reikna daglegt gengi</t>
  </si>
  <si>
    <t>(42 deildir)</t>
  </si>
  <si>
    <t>Hlutdeildarskírteini verðbréfasjóða</t>
  </si>
  <si>
    <t>Almenni</t>
  </si>
  <si>
    <t>Innlán í bönkum og sparisjóðum</t>
  </si>
  <si>
    <t>Annað</t>
  </si>
  <si>
    <t>lok 2002</t>
  </si>
  <si>
    <t>*Stofnuð í árs-</t>
  </si>
  <si>
    <t>Deild/leið I</t>
  </si>
  <si>
    <t>Deild/leið II</t>
  </si>
  <si>
    <t>Deild/leið III</t>
  </si>
  <si>
    <r>
      <t xml:space="preserve">Vörsluaðilar aðrir en lífeyrissjóðir </t>
    </r>
    <r>
      <rPr>
        <b/>
        <vertAlign val="superscript"/>
        <sz val="10"/>
        <rFont val="Times New Roman"/>
        <family val="1"/>
      </rPr>
      <t>(2)</t>
    </r>
  </si>
  <si>
    <t>31.12.2003</t>
  </si>
  <si>
    <r>
      <t>.</t>
    </r>
    <r>
      <rPr>
        <b/>
        <vertAlign val="superscript"/>
        <sz val="10"/>
        <rFont val="Times New Roman"/>
        <family val="1"/>
      </rPr>
      <t>(2)</t>
    </r>
  </si>
  <si>
    <t xml:space="preserve">Reikna daglegt </t>
  </si>
  <si>
    <t>gengi</t>
  </si>
  <si>
    <t>Reikna daglegt</t>
  </si>
  <si>
    <t>*Stofnaðar 1/7/2002</t>
  </si>
  <si>
    <t>*Stofnuð í árslok 2002</t>
  </si>
  <si>
    <t>*4ára ávöxt.</t>
  </si>
  <si>
    <t>Skuldabréf sveitafélaga</t>
  </si>
  <si>
    <t>Skuldabref og víxlar lánastofnanna</t>
  </si>
  <si>
    <t>Óskráð hlutabréf</t>
  </si>
  <si>
    <t>*3ára ávöxt.</t>
  </si>
  <si>
    <t xml:space="preserve">4) Ábyrgð á skuldbindingum deildar II </t>
  </si>
  <si>
    <t>5) Stjórnir sjóðanna ákvarða iðgjald launagreiðanda árlega þannig að það dugi til greiðslu á skuldbindingum A-deilda</t>
  </si>
  <si>
    <t>Allir sjóðir</t>
  </si>
  <si>
    <t>samtals</t>
  </si>
  <si>
    <t>Lífeyrissjóður starfsmanna Húsavíkurkaupstaðar</t>
  </si>
  <si>
    <t>31.12.2004</t>
  </si>
  <si>
    <t xml:space="preserve">Meðalávöxtun 2000-2004                   </t>
  </si>
  <si>
    <t xml:space="preserve">Hækkun vísit. neysluv. 2004 (VNV)          </t>
  </si>
  <si>
    <t>Líf I</t>
  </si>
  <si>
    <t>Líf II</t>
  </si>
  <si>
    <t>Líf III</t>
  </si>
  <si>
    <t>Líf IV</t>
  </si>
  <si>
    <t>Afstemming efnahags og sjóðstreymis</t>
  </si>
  <si>
    <t>Afstemming yfirlits og efnahags</t>
  </si>
  <si>
    <t xml:space="preserve">Meðalávöxtun 2000-2004                 </t>
  </si>
  <si>
    <t>bænda</t>
  </si>
  <si>
    <t>*8,4%</t>
  </si>
  <si>
    <t>*6,5%</t>
  </si>
  <si>
    <t>*</t>
  </si>
  <si>
    <t>*9,5%</t>
  </si>
  <si>
    <t>*6,3%</t>
  </si>
  <si>
    <t>*Stofnuð í árslok 2004</t>
  </si>
  <si>
    <t xml:space="preserve"> 31.12.2004</t>
  </si>
  <si>
    <t>árið 2004</t>
  </si>
  <si>
    <t>ríkisins</t>
  </si>
  <si>
    <t xml:space="preserve">3) Lífeyrissjóðir sem sameinast viðkomandi sjóði árið 2004 eru meðtaldir í árslok.  </t>
  </si>
  <si>
    <t>3) 5)</t>
  </si>
  <si>
    <t>Eftirfarandi yfirlit sýnir starfandi lífeyrissjóði í árslok 2004 í stafrófsröð. Um er að ræða 48 lífeyrissjóði.</t>
  </si>
  <si>
    <t>(14 deildir)</t>
  </si>
  <si>
    <t>(40 deildir)</t>
  </si>
  <si>
    <t>(54 deildir)</t>
  </si>
  <si>
    <t>(39 deildir)</t>
  </si>
  <si>
    <t xml:space="preserve"> 1.  Hrein raunávöxtun miðað við vísitölu neysluverðs (3,9% hækkun á árinu 2004)</t>
  </si>
  <si>
    <t xml:space="preserve"> 5.  Meðaltal fjölda sjóðfélaga sem greiddi iðgjald á árinu 2004.</t>
  </si>
  <si>
    <t xml:space="preserve"> 6.  Meðaltal fjölda lífeyrisþega sem fékk greiddan lífeyri á árinu 2004.</t>
  </si>
  <si>
    <t xml:space="preserve"> 9.  Fjárhagsleg staða sjóðsins skv. tryggingafræðilegri úttekt m.v. 31.12.2004. </t>
  </si>
  <si>
    <t xml:space="preserve">10. Fjárhagsleg staða sjóðsins skv. tryggingafræðilegri úttekt m.v. 31.12.2004. </t>
  </si>
  <si>
    <t xml:space="preserve"> 1.  Hrein raunávöxtun miðað við vísitölu neysluverðs (3,9% hækkun </t>
  </si>
  <si>
    <t xml:space="preserve">      á árinu 2004) sjá skýringu í inngangi að kafla 4.</t>
  </si>
  <si>
    <t>*6,2%</t>
  </si>
  <si>
    <t>*4,8%</t>
  </si>
  <si>
    <t>*5,5%</t>
  </si>
  <si>
    <t>*8,2%</t>
  </si>
  <si>
    <t>*6,4%</t>
  </si>
  <si>
    <t>Önnur hlutdeildarskírteini</t>
  </si>
  <si>
    <t>Óskráð önnur hlutdeildarskírteini</t>
  </si>
  <si>
    <t>Gengisbundndar eignir 31.12.2004</t>
  </si>
  <si>
    <t>Óskráð verðbréf 31.12.2004</t>
  </si>
  <si>
    <t>Líf3</t>
  </si>
  <si>
    <t>Líf 4</t>
  </si>
  <si>
    <t>31.12.1999</t>
  </si>
  <si>
    <r>
      <t>.(1)</t>
    </r>
    <r>
      <rPr>
        <sz val="9"/>
        <rFont val="Times New Roman"/>
        <family val="1"/>
      </rPr>
      <t>Séreign til lágmarkstryggingarverndar (bundin séreign)</t>
    </r>
  </si>
  <si>
    <t>*7,12%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</si>
</sst>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</numFmts>
  <fonts count="7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10"/>
      <color indexed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8" applyFont="1" applyAlignment="1" applyProtection="1">
      <alignment horizontal="right"/>
      <protection/>
    </xf>
    <xf numFmtId="0" fontId="2" fillId="0" borderId="0" xfId="58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165" fontId="2" fillId="0" borderId="0" xfId="62" applyNumberFormat="1" applyFont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5" fontId="2" fillId="0" borderId="0" xfId="62" applyNumberFormat="1" applyFont="1" applyAlignment="1" applyProtection="1">
      <alignment/>
      <protection locked="0"/>
    </xf>
    <xf numFmtId="165" fontId="2" fillId="0" borderId="0" xfId="62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0" fontId="2" fillId="0" borderId="0" xfId="62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5" fontId="2" fillId="0" borderId="0" xfId="62" applyNumberFormat="1" applyFont="1" applyFill="1" applyAlignment="1" applyProtection="1">
      <alignment/>
      <protection/>
    </xf>
    <xf numFmtId="10" fontId="2" fillId="0" borderId="0" xfId="0" applyNumberFormat="1" applyFont="1" applyFill="1" applyAlignment="1" applyProtection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2" fillId="0" borderId="0" xfId="62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165" fontId="2" fillId="0" borderId="0" xfId="62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 locked="0"/>
    </xf>
    <xf numFmtId="165" fontId="2" fillId="0" borderId="0" xfId="62" applyNumberFormat="1" applyFont="1" applyAlignment="1">
      <alignment/>
    </xf>
    <xf numFmtId="165" fontId="14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>
      <alignment/>
    </xf>
    <xf numFmtId="3" fontId="2" fillId="0" borderId="0" xfId="62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15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3" fontId="2" fillId="33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2" fillId="0" borderId="0" xfId="62" applyNumberFormat="1" applyFont="1" applyFill="1" applyAlignment="1">
      <alignment/>
    </xf>
    <xf numFmtId="165" fontId="2" fillId="0" borderId="0" xfId="62" applyNumberFormat="1" applyFont="1" applyFill="1" applyAlignment="1" applyProtection="1">
      <alignment horizontal="left"/>
      <protection locked="0"/>
    </xf>
    <xf numFmtId="165" fontId="2" fillId="0" borderId="0" xfId="62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62" applyNumberFormat="1" applyFont="1" applyFill="1" applyAlignment="1" applyProtection="1">
      <alignment/>
      <protection/>
    </xf>
    <xf numFmtId="9" fontId="3" fillId="0" borderId="0" xfId="62" applyFont="1" applyFill="1" applyAlignment="1" applyProtection="1">
      <alignment/>
      <protection/>
    </xf>
    <xf numFmtId="1" fontId="3" fillId="0" borderId="0" xfId="62" applyNumberFormat="1" applyFont="1" applyFill="1" applyAlignment="1" applyProtection="1">
      <alignment/>
      <protection/>
    </xf>
    <xf numFmtId="1" fontId="3" fillId="0" borderId="0" xfId="62" applyNumberFormat="1" applyFont="1" applyAlignment="1" applyProtection="1">
      <alignment/>
      <protection locked="0"/>
    </xf>
    <xf numFmtId="1" fontId="3" fillId="0" borderId="0" xfId="62" applyNumberFormat="1" applyFont="1" applyAlignment="1">
      <alignment/>
    </xf>
    <xf numFmtId="1" fontId="3" fillId="0" borderId="0" xfId="62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78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178" fontId="2" fillId="0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8" fontId="17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78" fontId="2" fillId="0" borderId="0" xfId="0" applyNumberFormat="1" applyFont="1" applyBorder="1" applyAlignment="1">
      <alignment wrapText="1"/>
    </xf>
    <xf numFmtId="3" fontId="8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8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center"/>
    </xf>
    <xf numFmtId="178" fontId="19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 applyProtection="1">
      <alignment horizontal="right"/>
      <protection/>
    </xf>
    <xf numFmtId="0" fontId="2" fillId="0" borderId="0" xfId="58" applyFont="1" applyFill="1" applyAlignment="1" applyProtection="1">
      <alignment horizontal="center"/>
      <protection/>
    </xf>
    <xf numFmtId="168" fontId="8" fillId="0" borderId="0" xfId="0" applyNumberFormat="1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65" fontId="10" fillId="0" borderId="0" xfId="62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" fontId="2" fillId="0" borderId="0" xfId="62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 quotePrefix="1">
      <alignment horizontal="right"/>
      <protection locked="0"/>
    </xf>
    <xf numFmtId="165" fontId="8" fillId="0" borderId="0" xfId="0" applyNumberFormat="1" applyFont="1" applyFill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applyProtection="1">
      <alignment wrapText="1"/>
      <protection locked="0"/>
    </xf>
    <xf numFmtId="10" fontId="2" fillId="0" borderId="0" xfId="62" applyNumberFormat="1" applyFont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5" fillId="0" borderId="0" xfId="62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5" fillId="0" borderId="0" xfId="0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/>
    </xf>
    <xf numFmtId="3" fontId="29" fillId="0" borderId="0" xfId="0" applyNumberFormat="1" applyFont="1" applyFill="1" applyAlignment="1" applyProtection="1">
      <alignment horizontal="left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>
      <alignment/>
      <protection/>
    </xf>
    <xf numFmtId="3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3" fontId="27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right"/>
      <protection/>
    </xf>
    <xf numFmtId="3" fontId="26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4" fillId="0" borderId="0" xfId="59" applyFont="1" applyFill="1" applyBorder="1" applyAlignment="1" applyProtection="1">
      <alignment horizontal="center" wrapText="1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 quotePrefix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30" fillId="0" borderId="0" xfId="59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4" fillId="0" borderId="0" xfId="59" applyFont="1" applyFill="1" applyBorder="1" applyAlignment="1" applyProtection="1">
      <alignment horizontal="left"/>
      <protection locked="0"/>
    </xf>
    <xf numFmtId="3" fontId="14" fillId="0" borderId="0" xfId="59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2" fillId="0" borderId="0" xfId="59" applyFont="1" applyFill="1" applyBorder="1" applyAlignment="1" applyProtection="1">
      <alignment horizontal="right"/>
      <protection locked="0"/>
    </xf>
    <xf numFmtId="3" fontId="30" fillId="0" borderId="0" xfId="59" applyNumberFormat="1" applyFont="1" applyFill="1" applyBorder="1" applyAlignment="1" applyProtection="1">
      <alignment horizontal="right" wrapText="1"/>
      <protection locked="0"/>
    </xf>
    <xf numFmtId="0" fontId="14" fillId="0" borderId="0" xfId="59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14" fillId="0" borderId="0" xfId="59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/>
    </xf>
    <xf numFmtId="169" fontId="5" fillId="0" borderId="0" xfId="57" applyNumberFormat="1" applyFont="1" applyFill="1" applyBorder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right"/>
      <protection/>
    </xf>
    <xf numFmtId="165" fontId="2" fillId="0" borderId="0" xfId="62" applyNumberFormat="1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168" fontId="18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5" fontId="14" fillId="0" borderId="0" xfId="0" applyNumberFormat="1" applyFont="1" applyAlignment="1" applyProtection="1">
      <alignment horizontal="right"/>
      <protection locked="0"/>
    </xf>
    <xf numFmtId="10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 wrapText="1"/>
      <protection locked="0"/>
    </xf>
    <xf numFmtId="3" fontId="2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4" fillId="0" borderId="0" xfId="0" applyNumberFormat="1" applyFont="1" applyFill="1" applyAlignment="1" applyProtection="1">
      <alignment horizontal="center"/>
      <protection/>
    </xf>
    <xf numFmtId="3" fontId="34" fillId="0" borderId="0" xfId="0" applyNumberFormat="1" applyFont="1" applyFill="1" applyAlignment="1" applyProtection="1">
      <alignment horizontal="right"/>
      <protection/>
    </xf>
    <xf numFmtId="3" fontId="34" fillId="0" borderId="0" xfId="0" applyNumberFormat="1" applyFont="1" applyFill="1" applyAlignment="1" applyProtection="1">
      <alignment/>
      <protection/>
    </xf>
    <xf numFmtId="3" fontId="34" fillId="0" borderId="0" xfId="0" applyNumberFormat="1" applyFont="1" applyFill="1" applyAlignment="1">
      <alignment/>
    </xf>
    <xf numFmtId="3" fontId="35" fillId="0" borderId="0" xfId="0" applyNumberFormat="1" applyFont="1" applyFill="1" applyBorder="1" applyAlignment="1" applyProtection="1">
      <alignment horizontal="left"/>
      <protection/>
    </xf>
    <xf numFmtId="3" fontId="3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left"/>
    </xf>
    <xf numFmtId="179" fontId="2" fillId="0" borderId="0" xfId="62" applyNumberFormat="1" applyFont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34" fillId="0" borderId="0" xfId="0" applyNumberFormat="1" applyFont="1" applyFill="1" applyAlignment="1" applyProtection="1" quotePrefix="1">
      <alignment horizontal="center"/>
      <protection/>
    </xf>
    <xf numFmtId="3" fontId="34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>
      <alignment/>
    </xf>
    <xf numFmtId="1" fontId="34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33" borderId="0" xfId="62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2" fillId="0" borderId="0" xfId="62" applyNumberFormat="1" applyFont="1" applyFill="1" applyAlignment="1" applyProtection="1">
      <alignment horizontal="right"/>
      <protection/>
    </xf>
    <xf numFmtId="165" fontId="14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 applyProtection="1">
      <alignment horizontal="right" wrapText="1"/>
      <protection/>
    </xf>
    <xf numFmtId="1" fontId="2" fillId="0" borderId="0" xfId="0" applyNumberFormat="1" applyFont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left"/>
      <protection/>
    </xf>
    <xf numFmtId="168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0" fontId="2" fillId="0" borderId="0" xfId="62" applyNumberFormat="1" applyFont="1" applyFill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 applyProtection="1">
      <alignment horizontal="left"/>
      <protection/>
    </xf>
    <xf numFmtId="170" fontId="2" fillId="0" borderId="0" xfId="0" applyNumberFormat="1" applyFont="1" applyAlignment="1" applyProtection="1">
      <alignment/>
      <protection locked="0"/>
    </xf>
    <xf numFmtId="4" fontId="25" fillId="0" borderId="0" xfId="0" applyNumberFormat="1" applyFont="1" applyFill="1" applyAlignment="1">
      <alignment/>
    </xf>
    <xf numFmtId="165" fontId="25" fillId="0" borderId="0" xfId="62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165" fontId="23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/>
    </xf>
    <xf numFmtId="168" fontId="8" fillId="0" borderId="0" xfId="0" applyNumberFormat="1" applyFont="1" applyFill="1" applyAlignment="1" applyProtection="1">
      <alignment/>
      <protection locked="0"/>
    </xf>
    <xf numFmtId="168" fontId="8" fillId="0" borderId="0" xfId="0" applyNumberFormat="1" applyFont="1" applyFill="1" applyAlignment="1" applyProtection="1">
      <alignment horizontal="right"/>
      <protection locked="0"/>
    </xf>
    <xf numFmtId="168" fontId="8" fillId="0" borderId="0" xfId="0" applyNumberFormat="1" applyFont="1" applyFill="1" applyAlignment="1" applyProtection="1">
      <alignment/>
      <protection locked="0"/>
    </xf>
    <xf numFmtId="18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 locked="0"/>
    </xf>
    <xf numFmtId="172" fontId="2" fillId="0" borderId="0" xfId="0" applyNumberFormat="1" applyFont="1" applyFill="1" applyAlignment="1" applyProtection="1">
      <alignment/>
      <protection locked="0"/>
    </xf>
    <xf numFmtId="0" fontId="4" fillId="0" borderId="0" xfId="58" applyFont="1" applyFill="1" applyAlignment="1" applyProtection="1">
      <alignment horizontal="center"/>
      <protection/>
    </xf>
    <xf numFmtId="3" fontId="3" fillId="0" borderId="0" xfId="58" applyNumberFormat="1" applyFont="1" applyFill="1" applyAlignment="1" applyProtection="1">
      <alignment horizontal="right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center"/>
      <protection/>
    </xf>
    <xf numFmtId="0" fontId="2" fillId="0" borderId="0" xfId="58" applyFont="1" applyFill="1">
      <alignment/>
      <protection/>
    </xf>
    <xf numFmtId="0" fontId="5" fillId="0" borderId="0" xfId="58" applyFont="1" applyFill="1" applyAlignment="1" applyProtection="1">
      <alignment horizontal="right"/>
      <protection/>
    </xf>
    <xf numFmtId="3" fontId="3" fillId="0" borderId="0" xfId="58" applyNumberFormat="1" applyFont="1" applyFill="1" applyAlignment="1" applyProtection="1" quotePrefix="1">
      <alignment horizontal="right"/>
      <protection/>
    </xf>
    <xf numFmtId="0" fontId="3" fillId="0" borderId="0" xfId="58" applyNumberFormat="1" applyFont="1" applyFill="1" applyAlignment="1" applyProtection="1">
      <alignment horizontal="center"/>
      <protection/>
    </xf>
    <xf numFmtId="3" fontId="2" fillId="0" borderId="0" xfId="58" applyNumberFormat="1" applyFont="1" applyFill="1" applyAlignment="1" applyProtection="1">
      <alignment horizontal="right"/>
      <protection/>
    </xf>
    <xf numFmtId="3" fontId="2" fillId="0" borderId="0" xfId="58" applyNumberFormat="1" applyFont="1" applyFill="1">
      <alignment/>
      <protection/>
    </xf>
    <xf numFmtId="0" fontId="5" fillId="0" borderId="0" xfId="58" applyFont="1" applyFill="1" applyAlignment="1">
      <alignment horizontal="right"/>
      <protection/>
    </xf>
    <xf numFmtId="3" fontId="2" fillId="0" borderId="10" xfId="58" applyNumberFormat="1" applyFont="1" applyFill="1" applyBorder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65" fontId="2" fillId="0" borderId="0" xfId="62" applyNumberFormat="1" applyFont="1" applyFill="1" applyAlignment="1" applyProtection="1">
      <alignment horizontal="right"/>
      <protection locked="0"/>
    </xf>
    <xf numFmtId="0" fontId="2" fillId="0" borderId="0" xfId="58" applyFont="1" applyFill="1" applyAlignment="1" applyProtection="1">
      <alignment horizontal="right"/>
      <protection/>
    </xf>
    <xf numFmtId="0" fontId="2" fillId="0" borderId="0" xfId="58" applyFont="1" applyFill="1" applyProtection="1">
      <alignment/>
      <protection/>
    </xf>
    <xf numFmtId="0" fontId="3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right"/>
      <protection/>
    </xf>
    <xf numFmtId="0" fontId="19" fillId="0" borderId="0" xfId="58" applyFont="1" applyFill="1">
      <alignment/>
      <protection/>
    </xf>
    <xf numFmtId="0" fontId="5" fillId="0" borderId="0" xfId="58" applyFont="1" applyFill="1">
      <alignment/>
      <protection/>
    </xf>
    <xf numFmtId="165" fontId="2" fillId="0" borderId="0" xfId="58" applyNumberFormat="1" applyFont="1" applyFill="1">
      <alignment/>
      <protection/>
    </xf>
    <xf numFmtId="3" fontId="13" fillId="0" borderId="0" xfId="58" applyNumberFormat="1" applyFont="1" applyFill="1">
      <alignment/>
      <protection/>
    </xf>
    <xf numFmtId="3" fontId="3" fillId="0" borderId="0" xfId="58" applyNumberFormat="1" applyFont="1" applyFill="1" applyAlignment="1" applyProtection="1" quotePrefix="1">
      <alignment horizontal="center"/>
      <protection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58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" fontId="2" fillId="0" borderId="11" xfId="0" applyNumberFormat="1" applyFont="1" applyFill="1" applyBorder="1" applyAlignment="1" applyProtection="1">
      <alignment/>
      <protection/>
    </xf>
    <xf numFmtId="0" fontId="8" fillId="0" borderId="0" xfId="58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168" fontId="18" fillId="0" borderId="0" xfId="0" applyNumberFormat="1" applyFont="1" applyFill="1" applyAlignment="1" applyProtection="1">
      <alignment horizontal="left"/>
      <protection locked="0"/>
    </xf>
    <xf numFmtId="3" fontId="18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 applyProtection="1">
      <alignment horizontal="left"/>
      <protection/>
    </xf>
    <xf numFmtId="171" fontId="2" fillId="0" borderId="0" xfId="0" applyNumberFormat="1" applyFont="1" applyFill="1" applyAlignment="1" applyProtection="1">
      <alignment horizontal="left"/>
      <protection locked="0"/>
    </xf>
    <xf numFmtId="10" fontId="2" fillId="0" borderId="0" xfId="62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 applyProtection="1">
      <alignment horizontal="left"/>
      <protection locked="0"/>
    </xf>
    <xf numFmtId="165" fontId="3" fillId="0" borderId="0" xfId="62" applyNumberFormat="1" applyFont="1" applyAlignment="1">
      <alignment/>
    </xf>
    <xf numFmtId="165" fontId="30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62" applyNumberFormat="1" applyFont="1" applyFill="1" applyAlignment="1">
      <alignment/>
    </xf>
    <xf numFmtId="0" fontId="33" fillId="0" borderId="0" xfId="59" applyFont="1" applyFill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59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center" wrapText="1"/>
      <protection locked="0"/>
    </xf>
    <xf numFmtId="165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3" fontId="3" fillId="0" borderId="10" xfId="58" applyNumberFormat="1" applyFont="1" applyFill="1" applyBorder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Fill="1" applyAlignment="1" applyProtection="1">
      <alignment horizontal="center"/>
      <protection locked="0"/>
    </xf>
    <xf numFmtId="168" fontId="8" fillId="0" borderId="0" xfId="0" applyNumberFormat="1" applyFont="1" applyFill="1" applyAlignment="1" applyProtection="1">
      <alignment horizontal="center"/>
      <protection locked="0"/>
    </xf>
    <xf numFmtId="165" fontId="8" fillId="0" borderId="0" xfId="62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10" fontId="2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178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8" fontId="3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-deild ársreikn 311200-3" xfId="57"/>
    <cellStyle name="Normal_BLS81.XL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1.57421875" style="318" customWidth="1"/>
    <col min="5" max="7" width="9.140625" style="2" customWidth="1"/>
    <col min="9" max="16384" width="9.140625" style="2" customWidth="1"/>
  </cols>
  <sheetData>
    <row r="1" ht="15">
      <c r="A1" s="1" t="s">
        <v>529</v>
      </c>
    </row>
    <row r="2" ht="12.75" customHeight="1"/>
    <row r="3" spans="3:4" ht="12.75" customHeight="1">
      <c r="C3" s="44" t="s">
        <v>371</v>
      </c>
      <c r="D3" s="44" t="s">
        <v>0</v>
      </c>
    </row>
    <row r="4" spans="2:4" ht="12.75" customHeight="1">
      <c r="B4" s="45" t="s">
        <v>369</v>
      </c>
      <c r="C4" s="44" t="s">
        <v>370</v>
      </c>
      <c r="D4" s="44" t="s">
        <v>1</v>
      </c>
    </row>
    <row r="5" spans="1:7" ht="15.75" customHeight="1">
      <c r="A5" s="308"/>
      <c r="B5" s="309" t="s">
        <v>468</v>
      </c>
      <c r="C5" s="42">
        <v>5</v>
      </c>
      <c r="D5" s="122">
        <v>9</v>
      </c>
      <c r="G5" s="3"/>
    </row>
    <row r="6" spans="1:7" ht="11.25" customHeight="1">
      <c r="A6" s="308"/>
      <c r="B6" s="298" t="s">
        <v>2</v>
      </c>
      <c r="C6" s="42">
        <v>1</v>
      </c>
      <c r="D6" s="122">
        <v>35</v>
      </c>
      <c r="G6" s="3"/>
    </row>
    <row r="7" spans="1:7" ht="11.25" customHeight="1">
      <c r="A7" s="308"/>
      <c r="B7" s="309" t="s">
        <v>3</v>
      </c>
      <c r="C7" s="42">
        <v>1</v>
      </c>
      <c r="D7" s="122">
        <v>28</v>
      </c>
      <c r="G7" s="3"/>
    </row>
    <row r="8" spans="1:7" ht="11.25" customHeight="1">
      <c r="A8" s="308"/>
      <c r="B8" s="309" t="s">
        <v>4</v>
      </c>
      <c r="C8" s="4">
        <v>1</v>
      </c>
      <c r="D8" s="122">
        <v>25</v>
      </c>
      <c r="G8" s="3"/>
    </row>
    <row r="9" spans="1:7" ht="11.25" customHeight="1">
      <c r="A9" s="308"/>
      <c r="B9" s="298" t="s">
        <v>5</v>
      </c>
      <c r="C9" s="4">
        <v>1</v>
      </c>
      <c r="D9" s="122">
        <v>41</v>
      </c>
      <c r="G9" s="3"/>
    </row>
    <row r="10" spans="1:7" ht="11.25" customHeight="1">
      <c r="A10" s="308"/>
      <c r="B10" s="298" t="s">
        <v>6</v>
      </c>
      <c r="C10" s="4">
        <v>1</v>
      </c>
      <c r="D10" s="122">
        <v>40</v>
      </c>
      <c r="G10" s="3"/>
    </row>
    <row r="11" spans="1:7" ht="11.25" customHeight="1">
      <c r="A11" s="308"/>
      <c r="B11" s="298" t="s">
        <v>7</v>
      </c>
      <c r="C11" s="42">
        <v>1</v>
      </c>
      <c r="D11" s="122">
        <v>46</v>
      </c>
      <c r="G11" s="3"/>
    </row>
    <row r="12" spans="1:7" ht="11.25" customHeight="1">
      <c r="A12" s="308"/>
      <c r="B12" s="298" t="s">
        <v>8</v>
      </c>
      <c r="C12" s="4">
        <v>1</v>
      </c>
      <c r="D12" s="122">
        <v>39</v>
      </c>
      <c r="G12" s="3"/>
    </row>
    <row r="13" spans="1:7" ht="11.25" customHeight="1">
      <c r="A13" s="308"/>
      <c r="B13" s="309" t="s">
        <v>9</v>
      </c>
      <c r="C13" s="4">
        <v>4</v>
      </c>
      <c r="D13" s="122">
        <v>7</v>
      </c>
      <c r="G13" s="3"/>
    </row>
    <row r="14" spans="1:7" ht="11.25" customHeight="1">
      <c r="A14" s="308"/>
      <c r="B14" s="309" t="s">
        <v>10</v>
      </c>
      <c r="C14" s="4">
        <v>5</v>
      </c>
      <c r="D14" s="122">
        <v>24</v>
      </c>
      <c r="G14" s="3"/>
    </row>
    <row r="15" spans="1:7" ht="11.25" customHeight="1">
      <c r="A15" s="308"/>
      <c r="B15" s="298" t="s">
        <v>11</v>
      </c>
      <c r="C15" s="4">
        <v>1</v>
      </c>
      <c r="D15" s="122">
        <v>42</v>
      </c>
      <c r="G15" s="3"/>
    </row>
    <row r="16" spans="1:7" ht="11.25" customHeight="1">
      <c r="A16" s="308"/>
      <c r="B16" s="298" t="s">
        <v>12</v>
      </c>
      <c r="C16" s="42">
        <v>1</v>
      </c>
      <c r="D16" s="122">
        <v>38</v>
      </c>
      <c r="G16" s="3"/>
    </row>
    <row r="17" spans="1:7" ht="11.25" customHeight="1">
      <c r="A17" s="308"/>
      <c r="B17" s="309" t="s">
        <v>13</v>
      </c>
      <c r="C17" s="4">
        <v>2</v>
      </c>
      <c r="D17" s="122">
        <v>14</v>
      </c>
      <c r="G17" s="3"/>
    </row>
    <row r="18" spans="1:7" ht="11.25" customHeight="1">
      <c r="A18" s="308"/>
      <c r="B18" s="309" t="s">
        <v>14</v>
      </c>
      <c r="C18" s="4">
        <v>2</v>
      </c>
      <c r="D18" s="122">
        <v>11</v>
      </c>
      <c r="G18" s="3"/>
    </row>
    <row r="19" spans="1:7" ht="11.25" customHeight="1">
      <c r="A19" s="308"/>
      <c r="B19" s="309" t="s">
        <v>15</v>
      </c>
      <c r="C19" s="4">
        <v>1</v>
      </c>
      <c r="D19" s="122">
        <v>31</v>
      </c>
      <c r="G19" s="3"/>
    </row>
    <row r="20" spans="1:7" ht="11.25" customHeight="1">
      <c r="A20" s="308"/>
      <c r="B20" s="309" t="s">
        <v>16</v>
      </c>
      <c r="C20" s="4">
        <v>1</v>
      </c>
      <c r="D20" s="122">
        <v>20</v>
      </c>
      <c r="G20" s="3"/>
    </row>
    <row r="21" spans="1:7" ht="11.25" customHeight="1">
      <c r="A21" s="308"/>
      <c r="B21" s="309" t="s">
        <v>17</v>
      </c>
      <c r="C21" s="4">
        <v>2</v>
      </c>
      <c r="D21" s="122">
        <v>29</v>
      </c>
      <c r="G21" s="3"/>
    </row>
    <row r="22" spans="1:7" ht="11.25" customHeight="1">
      <c r="A22" s="308"/>
      <c r="B22" s="309" t="s">
        <v>18</v>
      </c>
      <c r="C22" s="4">
        <v>1</v>
      </c>
      <c r="D22" s="122">
        <v>32</v>
      </c>
      <c r="G22" s="3"/>
    </row>
    <row r="23" spans="1:7" ht="11.25" customHeight="1">
      <c r="A23" s="308"/>
      <c r="B23" s="309" t="s">
        <v>19</v>
      </c>
      <c r="C23" s="4">
        <v>1</v>
      </c>
      <c r="D23" s="122">
        <v>17</v>
      </c>
      <c r="G23" s="3"/>
    </row>
    <row r="24" spans="1:7" ht="11.25" customHeight="1">
      <c r="A24" s="308"/>
      <c r="B24" s="309" t="s">
        <v>20</v>
      </c>
      <c r="C24" s="4">
        <v>1</v>
      </c>
      <c r="D24" s="122">
        <v>13</v>
      </c>
      <c r="G24" s="3"/>
    </row>
    <row r="25" spans="1:7" ht="11.25" customHeight="1">
      <c r="A25" s="308"/>
      <c r="B25" s="298" t="s">
        <v>21</v>
      </c>
      <c r="C25" s="4">
        <v>1</v>
      </c>
      <c r="D25" s="122">
        <v>36</v>
      </c>
      <c r="G25" s="3"/>
    </row>
    <row r="26" spans="1:7" ht="11.25" customHeight="1">
      <c r="A26" s="308"/>
      <c r="B26" s="298" t="s">
        <v>22</v>
      </c>
      <c r="C26" s="122">
        <v>1</v>
      </c>
      <c r="D26" s="122">
        <v>45</v>
      </c>
      <c r="G26" s="3"/>
    </row>
    <row r="27" spans="1:7" ht="11.25" customHeight="1">
      <c r="A27" s="308"/>
      <c r="B27" s="309" t="s">
        <v>23</v>
      </c>
      <c r="C27" s="42">
        <v>3</v>
      </c>
      <c r="D27" s="122">
        <v>6</v>
      </c>
      <c r="G27" s="3"/>
    </row>
    <row r="28" spans="1:7" ht="11.25" customHeight="1">
      <c r="A28" s="308"/>
      <c r="B28" s="309" t="s">
        <v>24</v>
      </c>
      <c r="C28" s="42">
        <v>2</v>
      </c>
      <c r="D28" s="122">
        <v>30</v>
      </c>
      <c r="G28" s="3"/>
    </row>
    <row r="29" spans="1:7" ht="11.25" customHeight="1">
      <c r="A29" s="308"/>
      <c r="B29" s="309" t="s">
        <v>25</v>
      </c>
      <c r="C29" s="42">
        <v>4</v>
      </c>
      <c r="D29" s="122">
        <v>4</v>
      </c>
      <c r="G29" s="3"/>
    </row>
    <row r="30" spans="1:7" ht="11.25" customHeight="1">
      <c r="A30" s="308"/>
      <c r="B30" s="298" t="s">
        <v>26</v>
      </c>
      <c r="C30" s="4">
        <v>1</v>
      </c>
      <c r="D30" s="122">
        <v>37</v>
      </c>
      <c r="G30" s="3"/>
    </row>
    <row r="31" spans="1:7" ht="11.25" customHeight="1">
      <c r="A31" s="308"/>
      <c r="B31" s="309" t="s">
        <v>27</v>
      </c>
      <c r="C31" s="43">
        <v>1</v>
      </c>
      <c r="D31" s="122">
        <v>26</v>
      </c>
      <c r="G31" s="3"/>
    </row>
    <row r="32" spans="1:7" ht="11.25" customHeight="1">
      <c r="A32" s="308"/>
      <c r="B32" s="309" t="s">
        <v>373</v>
      </c>
      <c r="C32" s="42">
        <v>1</v>
      </c>
      <c r="D32" s="122">
        <v>34</v>
      </c>
      <c r="G32" s="3"/>
    </row>
    <row r="33" spans="1:7" ht="11.25" customHeight="1">
      <c r="A33" s="308"/>
      <c r="B33" s="298" t="s">
        <v>28</v>
      </c>
      <c r="C33" s="4">
        <v>1</v>
      </c>
      <c r="D33" s="122">
        <v>47</v>
      </c>
      <c r="G33" s="3"/>
    </row>
    <row r="34" spans="1:7" ht="11.25" customHeight="1">
      <c r="A34" s="308"/>
      <c r="B34" s="298" t="s">
        <v>29</v>
      </c>
      <c r="C34" s="4">
        <v>1</v>
      </c>
      <c r="D34" s="122">
        <v>48</v>
      </c>
      <c r="G34" s="3"/>
    </row>
    <row r="35" spans="1:7" ht="11.25" customHeight="1">
      <c r="A35" s="308"/>
      <c r="B35" s="298" t="s">
        <v>506</v>
      </c>
      <c r="C35" s="4">
        <v>1</v>
      </c>
      <c r="D35" s="122">
        <v>44</v>
      </c>
      <c r="G35" s="3"/>
    </row>
    <row r="36" spans="1:7" ht="11.25" customHeight="1">
      <c r="A36" s="308"/>
      <c r="B36" s="309" t="s">
        <v>30</v>
      </c>
      <c r="C36" s="4">
        <v>1</v>
      </c>
      <c r="D36" s="122">
        <v>23</v>
      </c>
      <c r="G36" s="3"/>
    </row>
    <row r="37" spans="1:7" ht="11.25" customHeight="1">
      <c r="A37" s="308"/>
      <c r="B37" s="309" t="s">
        <v>31</v>
      </c>
      <c r="C37" s="4">
        <v>5</v>
      </c>
      <c r="D37" s="122">
        <v>1</v>
      </c>
      <c r="G37" s="3"/>
    </row>
    <row r="38" spans="1:7" ht="11.25" customHeight="1">
      <c r="A38" s="308"/>
      <c r="B38" s="298" t="s">
        <v>32</v>
      </c>
      <c r="C38" s="42">
        <v>5</v>
      </c>
      <c r="D38" s="122">
        <v>21</v>
      </c>
      <c r="G38" s="3"/>
    </row>
    <row r="39" spans="1:7" ht="11.25" customHeight="1">
      <c r="A39" s="308"/>
      <c r="B39" s="309" t="s">
        <v>33</v>
      </c>
      <c r="C39" s="4">
        <v>1</v>
      </c>
      <c r="D39" s="122">
        <v>27</v>
      </c>
      <c r="G39" s="3"/>
    </row>
    <row r="40" spans="1:7" ht="11.25" customHeight="1">
      <c r="A40" s="308"/>
      <c r="B40" s="309" t="s">
        <v>34</v>
      </c>
      <c r="C40" s="4">
        <v>1</v>
      </c>
      <c r="D40" s="122">
        <v>18</v>
      </c>
      <c r="G40" s="3"/>
    </row>
    <row r="41" spans="1:7" ht="11.25" customHeight="1">
      <c r="A41" s="308"/>
      <c r="B41" s="298" t="s">
        <v>35</v>
      </c>
      <c r="C41" s="42">
        <v>2</v>
      </c>
      <c r="D41" s="122">
        <v>33</v>
      </c>
      <c r="G41" s="3"/>
    </row>
    <row r="42" spans="1:7" ht="11.25" customHeight="1">
      <c r="A42" s="308"/>
      <c r="B42" s="309" t="s">
        <v>36</v>
      </c>
      <c r="C42" s="4">
        <v>2</v>
      </c>
      <c r="D42" s="122">
        <v>16</v>
      </c>
      <c r="G42" s="3"/>
    </row>
    <row r="43" spans="1:7" ht="11.25" customHeight="1">
      <c r="A43" s="308"/>
      <c r="B43" s="309" t="s">
        <v>37</v>
      </c>
      <c r="C43" s="4">
        <v>2</v>
      </c>
      <c r="D43" s="122">
        <v>2</v>
      </c>
      <c r="G43" s="3"/>
    </row>
    <row r="44" spans="1:7" ht="11.25" customHeight="1">
      <c r="A44" s="308"/>
      <c r="B44" s="309" t="s">
        <v>38</v>
      </c>
      <c r="C44" s="4">
        <v>2</v>
      </c>
      <c r="D44" s="122">
        <v>15</v>
      </c>
      <c r="G44" s="3"/>
    </row>
    <row r="45" spans="1:7" ht="11.25" customHeight="1">
      <c r="A45" s="308"/>
      <c r="B45" s="309" t="s">
        <v>39</v>
      </c>
      <c r="C45" s="4">
        <v>3</v>
      </c>
      <c r="D45" s="122">
        <v>19</v>
      </c>
      <c r="G45" s="3"/>
    </row>
    <row r="46" spans="1:7" ht="11.25" customHeight="1">
      <c r="A46" s="308"/>
      <c r="B46" s="309" t="s">
        <v>40</v>
      </c>
      <c r="C46" s="42">
        <v>2</v>
      </c>
      <c r="D46" s="122">
        <v>22</v>
      </c>
      <c r="G46" s="3"/>
    </row>
    <row r="47" spans="1:7" ht="11.25" customHeight="1">
      <c r="A47" s="308"/>
      <c r="B47" s="309" t="s">
        <v>41</v>
      </c>
      <c r="C47" s="42">
        <v>3</v>
      </c>
      <c r="D47" s="122">
        <v>3</v>
      </c>
      <c r="G47" s="3"/>
    </row>
    <row r="48" spans="1:7" ht="11.25" customHeight="1">
      <c r="A48" s="308"/>
      <c r="B48" s="309" t="s">
        <v>42</v>
      </c>
      <c r="C48" s="4">
        <v>3</v>
      </c>
      <c r="D48" s="122">
        <v>10</v>
      </c>
      <c r="G48" s="3"/>
    </row>
    <row r="49" spans="1:7" ht="11.25" customHeight="1">
      <c r="A49" s="308"/>
      <c r="B49" s="298" t="s">
        <v>43</v>
      </c>
      <c r="C49" s="4">
        <v>1</v>
      </c>
      <c r="D49" s="122">
        <v>43</v>
      </c>
      <c r="G49" s="3"/>
    </row>
    <row r="50" spans="1:7" ht="11.25" customHeight="1">
      <c r="A50" s="308"/>
      <c r="B50" s="309" t="s">
        <v>44</v>
      </c>
      <c r="C50" s="4">
        <v>4</v>
      </c>
      <c r="D50" s="122">
        <v>5</v>
      </c>
      <c r="G50" s="3"/>
    </row>
    <row r="51" spans="1:7" ht="11.25" customHeight="1">
      <c r="A51" s="308"/>
      <c r="B51" s="309" t="s">
        <v>45</v>
      </c>
      <c r="C51" s="42">
        <v>3</v>
      </c>
      <c r="D51" s="122">
        <v>12</v>
      </c>
      <c r="G51" s="3"/>
    </row>
    <row r="52" spans="1:7" ht="11.25" customHeight="1">
      <c r="A52" s="308"/>
      <c r="B52" s="309" t="s">
        <v>46</v>
      </c>
      <c r="C52" s="42">
        <v>2</v>
      </c>
      <c r="D52" s="122">
        <v>8</v>
      </c>
      <c r="G52" s="3"/>
    </row>
  </sheetData>
  <sheetProtection/>
  <printOptions/>
  <pageMargins left="0.7480314960629921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01"/>
  <sheetViews>
    <sheetView zoomScalePageLayoutView="0" workbookViewId="0" topLeftCell="A1">
      <pane xSplit="1" ySplit="7" topLeftCell="B8" activePane="bottomRight" state="frozen"/>
      <selection pane="topLeft" activeCell="BK79" sqref="BK79"/>
      <selection pane="topRight" activeCell="BK79" sqref="BK79"/>
      <selection pane="bottomLeft" activeCell="BK79" sqref="BK79"/>
      <selection pane="bottomRight" activeCell="A1" sqref="A1"/>
    </sheetView>
  </sheetViews>
  <sheetFormatPr defaultColWidth="9.140625" defaultRowHeight="12.75"/>
  <cols>
    <col min="1" max="1" width="29.57421875" style="50" customWidth="1"/>
    <col min="2" max="2" width="2.140625" style="258" customWidth="1"/>
    <col min="3" max="3" width="11.00390625" style="2" customWidth="1"/>
    <col min="4" max="5" width="9.140625" style="2" customWidth="1"/>
    <col min="6" max="6" width="8.7109375" style="2" customWidth="1"/>
    <col min="7" max="7" width="9.8515625" style="2" customWidth="1"/>
    <col min="8" max="8" width="9.8515625" style="50" customWidth="1"/>
    <col min="9" max="13" width="11.00390625" style="2" customWidth="1"/>
    <col min="14" max="18" width="11.140625" style="2" customWidth="1"/>
    <col min="19" max="19" width="11.8515625" style="2" customWidth="1"/>
    <col min="20" max="23" width="11.140625" style="2" customWidth="1"/>
    <col min="24" max="24" width="9.00390625" style="2" customWidth="1"/>
    <col min="25" max="25" width="9.8515625" style="2" customWidth="1"/>
    <col min="26" max="26" width="11.140625" style="2" customWidth="1"/>
    <col min="27" max="27" width="10.8515625" style="2" customWidth="1"/>
    <col min="28" max="28" width="10.7109375" style="2" customWidth="1"/>
    <col min="29" max="29" width="10.421875" style="2" customWidth="1"/>
    <col min="30" max="31" width="11.28125" style="2" customWidth="1"/>
    <col min="32" max="34" width="11.28125" style="50" customWidth="1"/>
    <col min="35" max="35" width="11.00390625" style="2" customWidth="1"/>
    <col min="36" max="39" width="9.7109375" style="2" customWidth="1"/>
    <col min="40" max="40" width="11.140625" style="2" customWidth="1"/>
    <col min="41" max="41" width="11.57421875" style="2" customWidth="1"/>
    <col min="42" max="42" width="5.28125" style="2" customWidth="1"/>
    <col min="43" max="43" width="12.57421875" style="2" customWidth="1"/>
    <col min="44" max="44" width="25.00390625" style="2" customWidth="1"/>
    <col min="45" max="45" width="6.28125" style="2" customWidth="1"/>
    <col min="46" max="46" width="11.00390625" style="2" customWidth="1"/>
    <col min="47" max="48" width="11.421875" style="2" customWidth="1"/>
    <col min="49" max="16384" width="9.140625" style="2" customWidth="1"/>
  </cols>
  <sheetData>
    <row r="1" spans="1:49" s="18" customFormat="1" ht="12.75">
      <c r="A1" s="7"/>
      <c r="B1" s="255"/>
      <c r="C1" s="363" t="s">
        <v>69</v>
      </c>
      <c r="D1" s="363"/>
      <c r="E1" s="363"/>
      <c r="F1" s="55" t="s">
        <v>69</v>
      </c>
      <c r="G1" s="363" t="s">
        <v>69</v>
      </c>
      <c r="H1" s="363"/>
      <c r="I1" s="363" t="s">
        <v>69</v>
      </c>
      <c r="J1" s="363" t="s">
        <v>69</v>
      </c>
      <c r="K1" s="363" t="s">
        <v>69</v>
      </c>
      <c r="L1" s="363" t="s">
        <v>70</v>
      </c>
      <c r="M1" s="363"/>
      <c r="N1" s="363" t="s">
        <v>69</v>
      </c>
      <c r="O1" s="363" t="s">
        <v>69</v>
      </c>
      <c r="P1" s="363" t="s">
        <v>73</v>
      </c>
      <c r="Q1" s="363"/>
      <c r="R1" s="363"/>
      <c r="S1" s="55" t="s">
        <v>71</v>
      </c>
      <c r="T1" s="363" t="s">
        <v>481</v>
      </c>
      <c r="U1" s="363"/>
      <c r="V1" s="363"/>
      <c r="W1" s="363"/>
      <c r="X1" s="363" t="s">
        <v>69</v>
      </c>
      <c r="Y1" s="363"/>
      <c r="Z1" s="55" t="s">
        <v>72</v>
      </c>
      <c r="AA1" s="55" t="s">
        <v>69</v>
      </c>
      <c r="AB1" s="55" t="s">
        <v>69</v>
      </c>
      <c r="AC1" s="55" t="s">
        <v>69</v>
      </c>
      <c r="AD1" s="363" t="s">
        <v>69</v>
      </c>
      <c r="AE1" s="363"/>
      <c r="AF1" s="363" t="s">
        <v>69</v>
      </c>
      <c r="AG1" s="363"/>
      <c r="AH1" s="363"/>
      <c r="AI1" s="55" t="s">
        <v>69</v>
      </c>
      <c r="AJ1" s="363" t="s">
        <v>76</v>
      </c>
      <c r="AK1" s="363"/>
      <c r="AL1" s="363"/>
      <c r="AM1" s="363"/>
      <c r="AN1" s="55" t="s">
        <v>69</v>
      </c>
      <c r="AO1" s="55" t="s">
        <v>69</v>
      </c>
      <c r="AP1" s="55"/>
      <c r="AQ1" s="80" t="s">
        <v>421</v>
      </c>
      <c r="AR1" s="80"/>
      <c r="AS1" s="55"/>
      <c r="AT1" s="63"/>
      <c r="AU1" s="63"/>
      <c r="AV1" s="63"/>
      <c r="AW1" s="63"/>
    </row>
    <row r="2" spans="1:49" s="18" customFormat="1" ht="12.75">
      <c r="A2" s="10" t="s">
        <v>62</v>
      </c>
      <c r="B2" s="255"/>
      <c r="C2" s="363" t="s">
        <v>81</v>
      </c>
      <c r="D2" s="363"/>
      <c r="E2" s="363"/>
      <c r="F2" s="55" t="s">
        <v>80</v>
      </c>
      <c r="G2" s="363" t="s">
        <v>82</v>
      </c>
      <c r="H2" s="363"/>
      <c r="I2" s="363" t="s">
        <v>84</v>
      </c>
      <c r="J2" s="363" t="s">
        <v>84</v>
      </c>
      <c r="K2" s="363" t="s">
        <v>84</v>
      </c>
      <c r="L2" s="363" t="s">
        <v>418</v>
      </c>
      <c r="M2" s="363" t="s">
        <v>83</v>
      </c>
      <c r="N2" s="363" t="s">
        <v>419</v>
      </c>
      <c r="O2" s="363" t="s">
        <v>85</v>
      </c>
      <c r="P2" s="363" t="s">
        <v>83</v>
      </c>
      <c r="Q2" s="363" t="s">
        <v>83</v>
      </c>
      <c r="R2" s="363" t="s">
        <v>83</v>
      </c>
      <c r="S2" s="55" t="s">
        <v>83</v>
      </c>
      <c r="T2" s="363" t="s">
        <v>95</v>
      </c>
      <c r="U2" s="363" t="s">
        <v>95</v>
      </c>
      <c r="V2" s="363" t="s">
        <v>95</v>
      </c>
      <c r="W2" s="363" t="s">
        <v>95</v>
      </c>
      <c r="X2" s="363" t="s">
        <v>87</v>
      </c>
      <c r="Y2" s="363"/>
      <c r="Z2" s="55" t="s">
        <v>83</v>
      </c>
      <c r="AA2" s="55" t="s">
        <v>88</v>
      </c>
      <c r="AB2" s="55" t="s">
        <v>89</v>
      </c>
      <c r="AC2" s="55" t="s">
        <v>93</v>
      </c>
      <c r="AD2" s="363" t="s">
        <v>94</v>
      </c>
      <c r="AE2" s="363" t="s">
        <v>94</v>
      </c>
      <c r="AF2" s="363" t="s">
        <v>100</v>
      </c>
      <c r="AG2" s="363" t="s">
        <v>100</v>
      </c>
      <c r="AH2" s="363" t="s">
        <v>100</v>
      </c>
      <c r="AI2" s="55" t="s">
        <v>97</v>
      </c>
      <c r="AJ2" s="363" t="s">
        <v>83</v>
      </c>
      <c r="AK2" s="363" t="s">
        <v>83</v>
      </c>
      <c r="AL2" s="363"/>
      <c r="AM2" s="363" t="s">
        <v>83</v>
      </c>
      <c r="AN2" s="55" t="s">
        <v>105</v>
      </c>
      <c r="AO2" s="55" t="s">
        <v>109</v>
      </c>
      <c r="AP2" s="55"/>
      <c r="AQ2" s="80" t="s">
        <v>407</v>
      </c>
      <c r="AR2" s="80"/>
      <c r="AS2" s="55"/>
      <c r="AT2" s="63"/>
      <c r="AU2" s="63"/>
      <c r="AV2" s="63"/>
      <c r="AW2" s="63"/>
    </row>
    <row r="3" spans="1:49" s="18" customFormat="1" ht="12.75">
      <c r="A3" s="7"/>
      <c r="B3" s="255"/>
      <c r="F3" s="55" t="s">
        <v>125</v>
      </c>
      <c r="L3" s="55"/>
      <c r="M3" s="55"/>
      <c r="N3" s="55"/>
      <c r="O3" s="55"/>
      <c r="P3" s="363" t="s">
        <v>99</v>
      </c>
      <c r="Q3" s="363" t="s">
        <v>99</v>
      </c>
      <c r="R3" s="363" t="s">
        <v>99</v>
      </c>
      <c r="S3" s="55" t="s">
        <v>124</v>
      </c>
      <c r="T3" s="363"/>
      <c r="U3" s="363"/>
      <c r="V3" s="363"/>
      <c r="W3" s="363"/>
      <c r="X3" s="363"/>
      <c r="Y3" s="363"/>
      <c r="Z3" s="55" t="s">
        <v>99</v>
      </c>
      <c r="AA3" s="55" t="s">
        <v>123</v>
      </c>
      <c r="AB3" s="55" t="s">
        <v>126</v>
      </c>
      <c r="AC3" s="55" t="s">
        <v>128</v>
      </c>
      <c r="AD3" s="363" t="s">
        <v>378</v>
      </c>
      <c r="AE3" s="363" t="s">
        <v>378</v>
      </c>
      <c r="AF3" s="363" t="s">
        <v>139</v>
      </c>
      <c r="AG3" s="363" t="s">
        <v>139</v>
      </c>
      <c r="AH3" s="363" t="s">
        <v>139</v>
      </c>
      <c r="AI3" s="55" t="s">
        <v>377</v>
      </c>
      <c r="AJ3" s="363" t="s">
        <v>99</v>
      </c>
      <c r="AK3" s="363" t="s">
        <v>99</v>
      </c>
      <c r="AL3" s="363"/>
      <c r="AM3" s="363" t="s">
        <v>99</v>
      </c>
      <c r="AN3" s="55"/>
      <c r="AO3" s="55" t="s">
        <v>142</v>
      </c>
      <c r="AP3" s="55"/>
      <c r="AS3" s="55"/>
      <c r="AT3" s="63"/>
      <c r="AU3" s="63"/>
      <c r="AV3" s="63"/>
      <c r="AW3" s="63"/>
    </row>
    <row r="4" spans="1:49" s="59" customFormat="1" ht="12.75">
      <c r="A4" s="14"/>
      <c r="B4" s="255"/>
      <c r="C4" s="365" t="s">
        <v>362</v>
      </c>
      <c r="D4" s="365"/>
      <c r="E4" s="365"/>
      <c r="F4" s="58" t="s">
        <v>155</v>
      </c>
      <c r="G4" s="365" t="s">
        <v>159</v>
      </c>
      <c r="H4" s="365"/>
      <c r="I4" s="365" t="s">
        <v>160</v>
      </c>
      <c r="J4" s="365" t="s">
        <v>160</v>
      </c>
      <c r="K4" s="365" t="s">
        <v>160</v>
      </c>
      <c r="L4" s="365" t="s">
        <v>163</v>
      </c>
      <c r="M4" s="365"/>
      <c r="N4" s="365" t="s">
        <v>164</v>
      </c>
      <c r="O4" s="365" t="s">
        <v>164</v>
      </c>
      <c r="P4" s="363" t="s">
        <v>165</v>
      </c>
      <c r="Q4" s="363" t="s">
        <v>167</v>
      </c>
      <c r="R4" s="363" t="s">
        <v>167</v>
      </c>
      <c r="S4" s="58" t="s">
        <v>166</v>
      </c>
      <c r="T4" s="365" t="s">
        <v>167</v>
      </c>
      <c r="U4" s="363"/>
      <c r="V4" s="363"/>
      <c r="W4" s="363" t="s">
        <v>173</v>
      </c>
      <c r="X4" s="363" t="s">
        <v>168</v>
      </c>
      <c r="Y4" s="363" t="s">
        <v>168</v>
      </c>
      <c r="Z4" s="58" t="s">
        <v>170</v>
      </c>
      <c r="AA4" s="58" t="s">
        <v>172</v>
      </c>
      <c r="AB4" s="58" t="s">
        <v>173</v>
      </c>
      <c r="AC4" s="58" t="s">
        <v>174</v>
      </c>
      <c r="AD4" s="363" t="s">
        <v>177</v>
      </c>
      <c r="AE4" s="363" t="s">
        <v>177</v>
      </c>
      <c r="AF4" s="365" t="s">
        <v>179</v>
      </c>
      <c r="AG4" s="363" t="s">
        <v>184</v>
      </c>
      <c r="AH4" s="363" t="s">
        <v>184</v>
      </c>
      <c r="AI4" s="58" t="s">
        <v>180</v>
      </c>
      <c r="AJ4" s="365" t="s">
        <v>181</v>
      </c>
      <c r="AK4" s="363" t="s">
        <v>182</v>
      </c>
      <c r="AL4" s="363"/>
      <c r="AM4" s="363" t="s">
        <v>182</v>
      </c>
      <c r="AN4" s="58" t="s">
        <v>187</v>
      </c>
      <c r="AO4" s="58" t="s">
        <v>192</v>
      </c>
      <c r="AP4" s="55"/>
      <c r="AS4" s="55"/>
      <c r="AT4" s="55"/>
      <c r="AU4" s="55"/>
      <c r="AV4" s="55"/>
      <c r="AW4" s="55"/>
    </row>
    <row r="5" spans="1:49" s="243" customFormat="1" ht="11.25">
      <c r="A5" s="240"/>
      <c r="B5" s="254"/>
      <c r="C5" s="240" t="s">
        <v>391</v>
      </c>
      <c r="D5" s="240" t="s">
        <v>392</v>
      </c>
      <c r="E5" s="240" t="s">
        <v>393</v>
      </c>
      <c r="F5" s="240"/>
      <c r="G5" s="240" t="s">
        <v>455</v>
      </c>
      <c r="H5" s="240" t="s">
        <v>455</v>
      </c>
      <c r="I5" s="240" t="s">
        <v>383</v>
      </c>
      <c r="J5" s="240" t="s">
        <v>384</v>
      </c>
      <c r="K5" s="240" t="s">
        <v>385</v>
      </c>
      <c r="L5" s="240" t="s">
        <v>363</v>
      </c>
      <c r="M5" s="240" t="s">
        <v>364</v>
      </c>
      <c r="N5" s="240" t="s">
        <v>366</v>
      </c>
      <c r="O5" s="240" t="s">
        <v>365</v>
      </c>
      <c r="P5" s="240" t="s">
        <v>383</v>
      </c>
      <c r="Q5" s="240" t="s">
        <v>384</v>
      </c>
      <c r="R5" s="240" t="s">
        <v>385</v>
      </c>
      <c r="S5" s="240"/>
      <c r="T5" s="240" t="s">
        <v>359</v>
      </c>
      <c r="U5" s="240" t="s">
        <v>360</v>
      </c>
      <c r="V5" s="240" t="s">
        <v>361</v>
      </c>
      <c r="W5" s="240" t="s">
        <v>386</v>
      </c>
      <c r="X5" s="240" t="s">
        <v>383</v>
      </c>
      <c r="Y5" s="240" t="s">
        <v>384</v>
      </c>
      <c r="Z5" s="240"/>
      <c r="AA5" s="240"/>
      <c r="AB5" s="240"/>
      <c r="AC5" s="240"/>
      <c r="AD5" s="240" t="s">
        <v>366</v>
      </c>
      <c r="AE5" s="240" t="s">
        <v>365</v>
      </c>
      <c r="AF5" s="240" t="s">
        <v>387</v>
      </c>
      <c r="AG5" s="240" t="s">
        <v>388</v>
      </c>
      <c r="AH5" s="240" t="s">
        <v>389</v>
      </c>
      <c r="AI5" s="240"/>
      <c r="AJ5" s="240" t="s">
        <v>510</v>
      </c>
      <c r="AK5" s="240" t="s">
        <v>511</v>
      </c>
      <c r="AL5" s="240" t="s">
        <v>512</v>
      </c>
      <c r="AM5" s="240" t="s">
        <v>513</v>
      </c>
      <c r="AN5" s="240"/>
      <c r="AO5" s="240"/>
      <c r="AP5" s="250"/>
      <c r="AQ5" s="251" t="s">
        <v>479</v>
      </c>
      <c r="AR5" s="251"/>
      <c r="AS5" s="240"/>
      <c r="AT5" s="240"/>
      <c r="AU5" s="252"/>
      <c r="AV5" s="252"/>
      <c r="AW5" s="240"/>
    </row>
    <row r="6" spans="1:49" s="18" customFormat="1" ht="12.75">
      <c r="A6" s="15" t="s">
        <v>396</v>
      </c>
      <c r="B6" s="257"/>
      <c r="F6" s="61"/>
      <c r="G6" s="256" t="s">
        <v>454</v>
      </c>
      <c r="H6" s="256" t="s">
        <v>456</v>
      </c>
      <c r="S6" s="61"/>
      <c r="T6" s="61"/>
      <c r="U6" s="61"/>
      <c r="V6" s="61"/>
      <c r="W6" s="61"/>
      <c r="Z6" s="61"/>
      <c r="AA6" s="61"/>
      <c r="AB6" s="61"/>
      <c r="AC6" s="61"/>
      <c r="AI6" s="61"/>
      <c r="AN6" s="61"/>
      <c r="AO6" s="61"/>
      <c r="AP6" s="7"/>
      <c r="AS6" s="7"/>
      <c r="AT6" s="7"/>
      <c r="AU6" s="7"/>
      <c r="AV6" s="7"/>
      <c r="AW6" s="7"/>
    </row>
    <row r="7" ht="12.75">
      <c r="AN7" s="50"/>
    </row>
    <row r="8" spans="1:49" ht="12.75">
      <c r="A8" s="7" t="s">
        <v>435</v>
      </c>
      <c r="B8" s="255">
        <v>1</v>
      </c>
      <c r="C8" s="339">
        <v>0.106</v>
      </c>
      <c r="D8" s="340">
        <v>0.079</v>
      </c>
      <c r="E8" s="341">
        <v>0.057</v>
      </c>
      <c r="F8" s="75">
        <f>+F71</f>
        <v>0.12183486776725339</v>
      </c>
      <c r="G8" s="75">
        <f>+G71</f>
        <v>0.14280467116859907</v>
      </c>
      <c r="H8" s="75">
        <f>+H71</f>
        <v>0.11144905906106994</v>
      </c>
      <c r="I8" s="253">
        <v>0.0815</v>
      </c>
      <c r="J8" s="253">
        <v>0.079</v>
      </c>
      <c r="K8" s="342">
        <v>0.0615</v>
      </c>
      <c r="L8" s="181">
        <v>0.058</v>
      </c>
      <c r="M8" s="181">
        <v>0.067</v>
      </c>
      <c r="N8" s="253">
        <v>0.1057</v>
      </c>
      <c r="O8" s="253">
        <v>0.1259</v>
      </c>
      <c r="P8" s="179">
        <v>0.095</v>
      </c>
      <c r="Q8" s="179">
        <v>0.103</v>
      </c>
      <c r="R8" s="179">
        <v>0.061</v>
      </c>
      <c r="S8" s="75">
        <f>+S71</f>
        <v>0.07431749161404588</v>
      </c>
      <c r="T8" s="341">
        <v>0.052</v>
      </c>
      <c r="U8" s="341">
        <v>0.084</v>
      </c>
      <c r="V8" s="341">
        <v>0.077</v>
      </c>
      <c r="W8" s="341">
        <v>0.059</v>
      </c>
      <c r="X8" s="342">
        <v>0.046</v>
      </c>
      <c r="Y8" s="342">
        <v>0.054</v>
      </c>
      <c r="Z8" s="75">
        <f>+Z71</f>
        <v>0.15000690978087228</v>
      </c>
      <c r="AA8" s="342">
        <v>0.0685</v>
      </c>
      <c r="AB8" s="75">
        <f aca="true" t="shared" si="0" ref="AB8:AH8">+AB71</f>
        <v>0.2258315656987544</v>
      </c>
      <c r="AC8" s="75">
        <f t="shared" si="0"/>
        <v>0.07241704779057168</v>
      </c>
      <c r="AD8" s="75">
        <f t="shared" si="0"/>
        <v>0.09373472488065926</v>
      </c>
      <c r="AE8" s="75">
        <f t="shared" si="0"/>
        <v>0.11191671832661232</v>
      </c>
      <c r="AF8" s="75">
        <f t="shared" si="0"/>
        <v>0.10473764851627987</v>
      </c>
      <c r="AG8" s="75">
        <f t="shared" si="0"/>
        <v>0.1009180411277888</v>
      </c>
      <c r="AH8" s="75">
        <f t="shared" si="0"/>
        <v>0.06258565103070035</v>
      </c>
      <c r="AI8" s="179">
        <v>0.052</v>
      </c>
      <c r="AJ8" s="342">
        <v>0.0794</v>
      </c>
      <c r="AK8" s="342">
        <v>0.0719</v>
      </c>
      <c r="AL8" s="342">
        <v>0.0725</v>
      </c>
      <c r="AM8" s="342">
        <v>0.0605</v>
      </c>
      <c r="AN8" s="75">
        <f>+AN71</f>
        <v>0.01973752273646201</v>
      </c>
      <c r="AO8" s="75">
        <f>+AO71</f>
        <v>0.08356993558750458</v>
      </c>
      <c r="AP8" s="125"/>
      <c r="AQ8" s="271">
        <f>+AQ71</f>
        <v>0.08595698881480462</v>
      </c>
      <c r="AR8" s="271"/>
      <c r="AS8" s="40"/>
      <c r="AT8" s="46"/>
      <c r="AU8" s="40"/>
      <c r="AV8" s="68"/>
      <c r="AW8" s="68"/>
    </row>
    <row r="9" spans="1:49" s="53" customFormat="1" ht="12.75">
      <c r="A9" s="229" t="s">
        <v>516</v>
      </c>
      <c r="B9" s="259">
        <v>2</v>
      </c>
      <c r="C9" s="54">
        <v>0.02</v>
      </c>
      <c r="D9" s="233" t="s">
        <v>518</v>
      </c>
      <c r="E9" s="183" t="s">
        <v>519</v>
      </c>
      <c r="F9" s="25">
        <v>0.041</v>
      </c>
      <c r="G9" s="370">
        <v>0.093</v>
      </c>
      <c r="H9" s="370"/>
      <c r="I9" s="25">
        <v>0.014</v>
      </c>
      <c r="J9" s="183" t="s">
        <v>541</v>
      </c>
      <c r="K9" s="183" t="s">
        <v>542</v>
      </c>
      <c r="L9" s="25">
        <v>0.013</v>
      </c>
      <c r="M9" s="25">
        <v>0.065</v>
      </c>
      <c r="N9" s="25">
        <v>0.0697</v>
      </c>
      <c r="O9" s="25">
        <v>0.0637</v>
      </c>
      <c r="P9" s="23">
        <v>0.024</v>
      </c>
      <c r="Q9" s="180" t="s">
        <v>544</v>
      </c>
      <c r="R9" s="180" t="s">
        <v>545</v>
      </c>
      <c r="S9" s="183">
        <v>0.024</v>
      </c>
      <c r="T9" s="25">
        <v>-0.002</v>
      </c>
      <c r="U9" s="25">
        <v>0.021</v>
      </c>
      <c r="V9" s="25">
        <v>0.044</v>
      </c>
      <c r="W9" s="183" t="s">
        <v>543</v>
      </c>
      <c r="X9" s="23">
        <v>0.009</v>
      </c>
      <c r="Y9" s="23">
        <v>0.064</v>
      </c>
      <c r="Z9" s="30">
        <v>0.061</v>
      </c>
      <c r="AA9" s="180" t="s">
        <v>520</v>
      </c>
      <c r="AB9" s="139">
        <v>0.0747</v>
      </c>
      <c r="AC9" s="24">
        <v>0.041</v>
      </c>
      <c r="AD9" s="23">
        <v>0.084</v>
      </c>
      <c r="AE9" s="23">
        <v>0.071</v>
      </c>
      <c r="AF9" s="23">
        <v>0.02</v>
      </c>
      <c r="AG9" s="180" t="s">
        <v>521</v>
      </c>
      <c r="AH9" s="180" t="s">
        <v>522</v>
      </c>
      <c r="AI9" s="25">
        <v>0.011</v>
      </c>
      <c r="AJ9" s="30">
        <v>0.0085</v>
      </c>
      <c r="AK9" s="30">
        <v>0.0162</v>
      </c>
      <c r="AL9" s="30">
        <v>0.0342</v>
      </c>
      <c r="AM9" s="307" t="s">
        <v>520</v>
      </c>
      <c r="AN9" s="180" t="s">
        <v>520</v>
      </c>
      <c r="AO9" s="25">
        <v>0.0265</v>
      </c>
      <c r="AQ9" s="29"/>
      <c r="AR9" s="29"/>
      <c r="AS9" s="29"/>
      <c r="AT9" s="6"/>
      <c r="AU9" s="6"/>
      <c r="AV9" s="29"/>
      <c r="AW9" s="29"/>
    </row>
    <row r="10" spans="1:57" ht="22.5" customHeight="1">
      <c r="A10" s="72" t="s">
        <v>210</v>
      </c>
      <c r="B10" s="260"/>
      <c r="C10" s="27">
        <v>94.2</v>
      </c>
      <c r="D10" s="27">
        <v>91</v>
      </c>
      <c r="E10" s="27">
        <v>0</v>
      </c>
      <c r="F10" s="27">
        <v>40.9</v>
      </c>
      <c r="G10" s="27">
        <v>28.4</v>
      </c>
      <c r="H10" s="27">
        <v>18.3</v>
      </c>
      <c r="I10" s="27">
        <v>95.8</v>
      </c>
      <c r="J10" s="27">
        <v>100</v>
      </c>
      <c r="K10" s="27">
        <v>0</v>
      </c>
      <c r="L10" s="27">
        <v>41.4</v>
      </c>
      <c r="M10" s="27">
        <v>0</v>
      </c>
      <c r="N10" s="27">
        <v>22.5</v>
      </c>
      <c r="O10" s="27">
        <v>46</v>
      </c>
      <c r="P10" s="28">
        <v>40.9</v>
      </c>
      <c r="Q10" s="28">
        <v>41</v>
      </c>
      <c r="R10" s="28">
        <v>0</v>
      </c>
      <c r="S10" s="27">
        <v>28.04</v>
      </c>
      <c r="T10" s="27">
        <v>71.1</v>
      </c>
      <c r="U10" s="27">
        <v>83.7</v>
      </c>
      <c r="V10" s="27">
        <v>85.5</v>
      </c>
      <c r="W10" s="27">
        <v>0</v>
      </c>
      <c r="X10" s="27">
        <v>35.8</v>
      </c>
      <c r="Y10" s="27">
        <v>0</v>
      </c>
      <c r="Z10" s="28">
        <v>31.4</v>
      </c>
      <c r="AA10" s="28">
        <v>100</v>
      </c>
      <c r="AB10" s="28">
        <v>70.5</v>
      </c>
      <c r="AC10" s="27">
        <v>66.16</v>
      </c>
      <c r="AD10" s="27">
        <v>28.2</v>
      </c>
      <c r="AE10" s="27">
        <v>52</v>
      </c>
      <c r="AF10" s="27">
        <v>80</v>
      </c>
      <c r="AG10" s="27">
        <v>99.1</v>
      </c>
      <c r="AH10" s="27">
        <v>0</v>
      </c>
      <c r="AI10" s="27">
        <v>32.2</v>
      </c>
      <c r="AJ10" s="28">
        <v>94.3</v>
      </c>
      <c r="AK10" s="28">
        <v>96.29</v>
      </c>
      <c r="AL10" s="28">
        <v>96.11</v>
      </c>
      <c r="AM10" s="28">
        <v>0</v>
      </c>
      <c r="AN10" s="27">
        <v>26.1</v>
      </c>
      <c r="AO10" s="27">
        <v>89.3</v>
      </c>
      <c r="AQ10" s="40">
        <f aca="true" t="shared" si="1" ref="AQ10:AQ15">+AQ87/$AQ$93</f>
        <v>0.5914291958995738</v>
      </c>
      <c r="AR10" s="40"/>
      <c r="AS10" s="37"/>
      <c r="AT10" s="40"/>
      <c r="AU10" s="40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ht="12.75">
      <c r="A11" s="10" t="s">
        <v>211</v>
      </c>
      <c r="B11" s="260"/>
      <c r="C11" s="27">
        <v>5.8</v>
      </c>
      <c r="D11" s="27">
        <v>9</v>
      </c>
      <c r="E11" s="27">
        <v>0</v>
      </c>
      <c r="F11" s="27">
        <v>36.1</v>
      </c>
      <c r="G11" s="27">
        <v>71.6</v>
      </c>
      <c r="H11" s="27">
        <v>81.7</v>
      </c>
      <c r="I11" s="27">
        <v>4.2</v>
      </c>
      <c r="J11" s="27">
        <v>0</v>
      </c>
      <c r="K11" s="27">
        <v>0</v>
      </c>
      <c r="L11" s="27">
        <v>35.6</v>
      </c>
      <c r="M11" s="27">
        <v>54.9</v>
      </c>
      <c r="N11" s="27">
        <v>77.5</v>
      </c>
      <c r="O11" s="27">
        <v>54</v>
      </c>
      <c r="P11" s="28">
        <v>49.5</v>
      </c>
      <c r="Q11" s="28">
        <v>51.9</v>
      </c>
      <c r="R11" s="28">
        <v>0</v>
      </c>
      <c r="S11" s="27">
        <v>71.9</v>
      </c>
      <c r="T11" s="27">
        <v>23.3</v>
      </c>
      <c r="U11" s="27">
        <v>8.3</v>
      </c>
      <c r="V11" s="27">
        <v>7.2</v>
      </c>
      <c r="W11" s="27">
        <v>0</v>
      </c>
      <c r="X11" s="27">
        <v>21</v>
      </c>
      <c r="Y11" s="27">
        <v>27.3</v>
      </c>
      <c r="Z11" s="28">
        <v>50.4</v>
      </c>
      <c r="AA11" s="28">
        <v>0</v>
      </c>
      <c r="AB11" s="28">
        <v>29.5</v>
      </c>
      <c r="AC11" s="27">
        <v>33.46</v>
      </c>
      <c r="AD11" s="27">
        <v>71.8</v>
      </c>
      <c r="AE11" s="27">
        <v>48</v>
      </c>
      <c r="AF11" s="27">
        <v>18.9</v>
      </c>
      <c r="AG11" s="27">
        <v>0</v>
      </c>
      <c r="AH11" s="27">
        <v>0</v>
      </c>
      <c r="AI11" s="27">
        <v>67.8</v>
      </c>
      <c r="AJ11" s="28">
        <v>4.82</v>
      </c>
      <c r="AK11" s="28">
        <v>2.38</v>
      </c>
      <c r="AL11" s="28">
        <v>1.79</v>
      </c>
      <c r="AM11" s="28">
        <v>0</v>
      </c>
      <c r="AN11" s="27">
        <v>73.9</v>
      </c>
      <c r="AO11" s="27">
        <v>3.92</v>
      </c>
      <c r="AQ11" s="40">
        <f t="shared" si="1"/>
        <v>0.2634487030684164</v>
      </c>
      <c r="AR11" s="40"/>
      <c r="AS11" s="37"/>
      <c r="AT11" s="40"/>
      <c r="AU11" s="40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ht="12.75">
      <c r="A12" s="10" t="s">
        <v>212</v>
      </c>
      <c r="B12" s="260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8">
        <v>7.4</v>
      </c>
      <c r="Q12" s="28">
        <v>6.1</v>
      </c>
      <c r="R12" s="28">
        <v>0</v>
      </c>
      <c r="S12" s="27">
        <v>0</v>
      </c>
      <c r="T12" s="27">
        <v>0</v>
      </c>
      <c r="U12" s="27">
        <v>0</v>
      </c>
      <c r="V12" s="27">
        <v>1.7</v>
      </c>
      <c r="W12" s="27">
        <v>0</v>
      </c>
      <c r="X12" s="27">
        <v>0</v>
      </c>
      <c r="Y12" s="27">
        <v>0</v>
      </c>
      <c r="Z12" s="28">
        <v>3.5</v>
      </c>
      <c r="AA12" s="28">
        <v>0</v>
      </c>
      <c r="AB12" s="28">
        <v>0</v>
      </c>
      <c r="AC12" s="27">
        <v>0</v>
      </c>
      <c r="AD12" s="27">
        <v>0</v>
      </c>
      <c r="AE12" s="27">
        <v>0</v>
      </c>
      <c r="AF12" s="27">
        <v>1.1</v>
      </c>
      <c r="AG12" s="27">
        <v>0.9</v>
      </c>
      <c r="AH12" s="27">
        <v>0</v>
      </c>
      <c r="AI12" s="27">
        <v>0</v>
      </c>
      <c r="AJ12" s="28">
        <v>0.88</v>
      </c>
      <c r="AK12" s="28">
        <v>0.94</v>
      </c>
      <c r="AL12" s="28">
        <v>0</v>
      </c>
      <c r="AM12" s="28">
        <v>0</v>
      </c>
      <c r="AN12" s="27">
        <v>0</v>
      </c>
      <c r="AO12" s="27">
        <v>2.51</v>
      </c>
      <c r="AQ12" s="40">
        <f t="shared" si="1"/>
        <v>0.026351545230004006</v>
      </c>
      <c r="AR12" s="40"/>
      <c r="AS12" s="37"/>
      <c r="AT12" s="40"/>
      <c r="AU12" s="40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2.75">
      <c r="A13" s="10" t="s">
        <v>213</v>
      </c>
      <c r="B13" s="260"/>
      <c r="C13" s="27">
        <v>0</v>
      </c>
      <c r="D13" s="27">
        <v>0</v>
      </c>
      <c r="E13" s="27">
        <v>0</v>
      </c>
      <c r="F13" s="27">
        <v>6.7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v>2</v>
      </c>
      <c r="Q13" s="28">
        <v>0.9</v>
      </c>
      <c r="R13" s="28">
        <v>0</v>
      </c>
      <c r="S13" s="27">
        <v>0</v>
      </c>
      <c r="T13" s="27">
        <v>1.4</v>
      </c>
      <c r="U13" s="27">
        <v>2</v>
      </c>
      <c r="V13" s="27">
        <v>0</v>
      </c>
      <c r="W13" s="27">
        <v>0</v>
      </c>
      <c r="X13" s="27">
        <v>0</v>
      </c>
      <c r="Y13" s="27">
        <v>6</v>
      </c>
      <c r="Z13" s="28">
        <v>2.6</v>
      </c>
      <c r="AA13" s="28">
        <v>0</v>
      </c>
      <c r="AB13" s="28">
        <v>0</v>
      </c>
      <c r="AC13" s="27">
        <v>0</v>
      </c>
      <c r="AD13" s="27">
        <v>0</v>
      </c>
      <c r="AE13" s="27">
        <v>0</v>
      </c>
      <c r="AF13" s="28">
        <v>0</v>
      </c>
      <c r="AG13" s="28">
        <v>0</v>
      </c>
      <c r="AH13" s="28">
        <v>0</v>
      </c>
      <c r="AI13" s="27">
        <v>0</v>
      </c>
      <c r="AJ13" s="28">
        <v>0</v>
      </c>
      <c r="AK13" s="28">
        <v>0.39</v>
      </c>
      <c r="AL13" s="28">
        <v>2.1</v>
      </c>
      <c r="AM13" s="28">
        <v>0</v>
      </c>
      <c r="AN13" s="28">
        <v>0</v>
      </c>
      <c r="AO13" s="27">
        <v>0.12</v>
      </c>
      <c r="AQ13" s="40">
        <f t="shared" si="1"/>
        <v>0.015435209212843422</v>
      </c>
      <c r="AR13" s="40"/>
      <c r="AS13" s="37"/>
      <c r="AT13" s="40"/>
      <c r="AU13" s="40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2.75">
      <c r="A14" s="10" t="s">
        <v>214</v>
      </c>
      <c r="B14" s="260"/>
      <c r="C14" s="27">
        <v>0</v>
      </c>
      <c r="D14" s="27">
        <v>0</v>
      </c>
      <c r="E14" s="27">
        <v>0</v>
      </c>
      <c r="F14" s="27">
        <v>16.3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23</v>
      </c>
      <c r="M14" s="27">
        <v>45.1</v>
      </c>
      <c r="N14" s="27">
        <v>0</v>
      </c>
      <c r="O14" s="27">
        <v>0</v>
      </c>
      <c r="P14" s="28">
        <v>0.3</v>
      </c>
      <c r="Q14" s="28">
        <v>0</v>
      </c>
      <c r="R14" s="28">
        <v>0</v>
      </c>
      <c r="S14" s="27">
        <v>0</v>
      </c>
      <c r="T14" s="27">
        <v>4.2</v>
      </c>
      <c r="U14" s="27">
        <v>6</v>
      </c>
      <c r="V14" s="27">
        <v>5.6</v>
      </c>
      <c r="W14" s="27">
        <v>0</v>
      </c>
      <c r="X14" s="27">
        <v>42.8</v>
      </c>
      <c r="Y14" s="27">
        <v>66.7</v>
      </c>
      <c r="Z14" s="28">
        <v>11</v>
      </c>
      <c r="AA14" s="28">
        <v>0</v>
      </c>
      <c r="AB14" s="28">
        <v>0</v>
      </c>
      <c r="AC14" s="27">
        <v>0</v>
      </c>
      <c r="AD14" s="27">
        <v>0</v>
      </c>
      <c r="AE14" s="27">
        <v>0</v>
      </c>
      <c r="AF14" s="28">
        <v>0</v>
      </c>
      <c r="AG14" s="28">
        <v>0</v>
      </c>
      <c r="AH14" s="28">
        <v>0</v>
      </c>
      <c r="AI14" s="27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7">
        <v>4.15</v>
      </c>
      <c r="AQ14" s="40">
        <f t="shared" si="1"/>
        <v>0.039186195090210506</v>
      </c>
      <c r="AR14" s="40"/>
      <c r="AS14" s="37"/>
      <c r="AT14" s="40"/>
      <c r="AU14" s="40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2.75">
      <c r="A15" s="10" t="s">
        <v>215</v>
      </c>
      <c r="B15" s="260"/>
      <c r="C15" s="27">
        <v>0</v>
      </c>
      <c r="D15" s="27">
        <v>0</v>
      </c>
      <c r="E15" s="27">
        <v>100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100</v>
      </c>
      <c r="L15" s="27">
        <v>0</v>
      </c>
      <c r="M15" s="27">
        <v>0</v>
      </c>
      <c r="N15" s="27">
        <v>0</v>
      </c>
      <c r="O15" s="27">
        <v>0</v>
      </c>
      <c r="P15" s="28">
        <v>0</v>
      </c>
      <c r="Q15" s="28">
        <v>0</v>
      </c>
      <c r="R15" s="28">
        <v>100</v>
      </c>
      <c r="S15" s="27">
        <v>0</v>
      </c>
      <c r="T15" s="27">
        <v>0</v>
      </c>
      <c r="U15" s="27">
        <v>0</v>
      </c>
      <c r="V15" s="27">
        <v>0</v>
      </c>
      <c r="W15" s="27">
        <v>100</v>
      </c>
      <c r="X15" s="27">
        <v>0</v>
      </c>
      <c r="Y15" s="27">
        <v>0</v>
      </c>
      <c r="Z15" s="28">
        <v>1.1</v>
      </c>
      <c r="AA15" s="28">
        <v>0</v>
      </c>
      <c r="AB15" s="28">
        <v>0</v>
      </c>
      <c r="AC15" s="27">
        <v>0.38</v>
      </c>
      <c r="AD15" s="27">
        <v>0</v>
      </c>
      <c r="AE15" s="27">
        <v>0</v>
      </c>
      <c r="AF15" s="28">
        <v>0</v>
      </c>
      <c r="AG15" s="28">
        <v>0</v>
      </c>
      <c r="AH15" s="28">
        <v>100</v>
      </c>
      <c r="AI15" s="27">
        <v>0</v>
      </c>
      <c r="AJ15" s="28">
        <v>0</v>
      </c>
      <c r="AK15" s="28">
        <v>0</v>
      </c>
      <c r="AL15" s="28">
        <v>0</v>
      </c>
      <c r="AM15" s="28">
        <v>100</v>
      </c>
      <c r="AN15" s="28">
        <v>0</v>
      </c>
      <c r="AO15" s="27">
        <v>0</v>
      </c>
      <c r="AQ15" s="40">
        <f t="shared" si="1"/>
        <v>0.0641491514989516</v>
      </c>
      <c r="AR15" s="40"/>
      <c r="AS15" s="38"/>
      <c r="AT15" s="40"/>
      <c r="AU15" s="40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49" s="86" customFormat="1" ht="12.75">
      <c r="A16" s="84" t="s">
        <v>436</v>
      </c>
      <c r="B16" s="261">
        <v>3</v>
      </c>
      <c r="C16" s="26">
        <f>SUM(C10:C15)</f>
        <v>100</v>
      </c>
      <c r="D16" s="26">
        <f aca="true" t="shared" si="2" ref="D16:AO16">SUM(D10:D15)</f>
        <v>100</v>
      </c>
      <c r="E16" s="26">
        <f t="shared" si="2"/>
        <v>100</v>
      </c>
      <c r="F16" s="26">
        <f t="shared" si="2"/>
        <v>100</v>
      </c>
      <c r="G16" s="26">
        <f t="shared" si="2"/>
        <v>100</v>
      </c>
      <c r="H16" s="26">
        <f t="shared" si="2"/>
        <v>100</v>
      </c>
      <c r="I16" s="26">
        <f t="shared" si="2"/>
        <v>100</v>
      </c>
      <c r="J16" s="26">
        <f t="shared" si="2"/>
        <v>100</v>
      </c>
      <c r="K16" s="26">
        <f t="shared" si="2"/>
        <v>100</v>
      </c>
      <c r="L16" s="26">
        <f t="shared" si="2"/>
        <v>100</v>
      </c>
      <c r="M16" s="26">
        <f t="shared" si="2"/>
        <v>100</v>
      </c>
      <c r="N16" s="26">
        <f>SUM(N10:N15)</f>
        <v>100</v>
      </c>
      <c r="O16" s="26">
        <f t="shared" si="2"/>
        <v>100</v>
      </c>
      <c r="P16" s="26">
        <f>SUM(P10:P15)</f>
        <v>100.10000000000001</v>
      </c>
      <c r="Q16" s="26">
        <f>SUM(Q10:Q15)</f>
        <v>99.9</v>
      </c>
      <c r="R16" s="26">
        <f>SUM(R10:R15)</f>
        <v>100</v>
      </c>
      <c r="S16" s="26">
        <f t="shared" si="2"/>
        <v>99.94</v>
      </c>
      <c r="T16" s="26">
        <f t="shared" si="2"/>
        <v>100</v>
      </c>
      <c r="U16" s="26">
        <f t="shared" si="2"/>
        <v>100</v>
      </c>
      <c r="V16" s="26">
        <f t="shared" si="2"/>
        <v>100</v>
      </c>
      <c r="W16" s="26">
        <f t="shared" si="2"/>
        <v>100</v>
      </c>
      <c r="X16" s="26">
        <f t="shared" si="2"/>
        <v>99.6</v>
      </c>
      <c r="Y16" s="26">
        <f t="shared" si="2"/>
        <v>100</v>
      </c>
      <c r="Z16" s="8">
        <f>SUM(Z10:Z15)</f>
        <v>99.99999999999999</v>
      </c>
      <c r="AA16" s="26">
        <f t="shared" si="2"/>
        <v>100</v>
      </c>
      <c r="AB16" s="26">
        <f t="shared" si="2"/>
        <v>100</v>
      </c>
      <c r="AC16" s="8">
        <f t="shared" si="2"/>
        <v>100</v>
      </c>
      <c r="AD16" s="26">
        <f t="shared" si="2"/>
        <v>100</v>
      </c>
      <c r="AE16" s="26">
        <f t="shared" si="2"/>
        <v>100</v>
      </c>
      <c r="AF16" s="26">
        <f>SUM(AF10:AF15)</f>
        <v>100</v>
      </c>
      <c r="AG16" s="26">
        <f>SUM(AG10:AG15)</f>
        <v>100</v>
      </c>
      <c r="AH16" s="26">
        <f>SUM(AH10:AH15)</f>
        <v>100</v>
      </c>
      <c r="AI16" s="26">
        <f t="shared" si="2"/>
        <v>100</v>
      </c>
      <c r="AJ16" s="8">
        <f>SUM(AJ10:AJ15)</f>
        <v>100</v>
      </c>
      <c r="AK16" s="8">
        <f>SUM(AK10:AK15)</f>
        <v>100</v>
      </c>
      <c r="AL16" s="8">
        <f>SUM(AL10:AL15)</f>
        <v>100</v>
      </c>
      <c r="AM16" s="8">
        <f>SUM(AM10:AM15)</f>
        <v>100</v>
      </c>
      <c r="AN16" s="26">
        <f t="shared" si="2"/>
        <v>100</v>
      </c>
      <c r="AO16" s="26">
        <f t="shared" si="2"/>
        <v>100.00000000000001</v>
      </c>
      <c r="AQ16" s="83">
        <f>SUM(AQ10:AQ15)</f>
        <v>0.9999999999999998</v>
      </c>
      <c r="AR16" s="83"/>
      <c r="AS16" s="84"/>
      <c r="AT16" s="84"/>
      <c r="AU16" s="84"/>
      <c r="AV16" s="85"/>
      <c r="AW16" s="87"/>
    </row>
    <row r="17" spans="1:54" ht="19.5" customHeight="1">
      <c r="A17" s="72" t="s">
        <v>216</v>
      </c>
      <c r="B17" s="260"/>
      <c r="C17" s="27">
        <v>70.5</v>
      </c>
      <c r="D17" s="27">
        <v>83.3</v>
      </c>
      <c r="E17" s="27">
        <v>100</v>
      </c>
      <c r="F17" s="27">
        <v>74.5</v>
      </c>
      <c r="G17" s="129">
        <v>89</v>
      </c>
      <c r="H17" s="129">
        <v>89.6</v>
      </c>
      <c r="I17" s="27">
        <v>67</v>
      </c>
      <c r="J17" s="27">
        <v>89</v>
      </c>
      <c r="K17" s="27">
        <v>100</v>
      </c>
      <c r="L17" s="27">
        <v>25</v>
      </c>
      <c r="M17" s="27">
        <v>100</v>
      </c>
      <c r="N17" s="129">
        <v>86</v>
      </c>
      <c r="O17" s="129">
        <v>81</v>
      </c>
      <c r="P17" s="28">
        <v>64.9</v>
      </c>
      <c r="Q17" s="28">
        <v>89</v>
      </c>
      <c r="R17" s="28">
        <v>100</v>
      </c>
      <c r="S17" s="27">
        <v>79.6</v>
      </c>
      <c r="T17" s="27">
        <v>58</v>
      </c>
      <c r="U17" s="27">
        <v>67.1</v>
      </c>
      <c r="V17" s="27">
        <v>84.3</v>
      </c>
      <c r="W17" s="27">
        <v>100</v>
      </c>
      <c r="X17" s="28">
        <v>65.6</v>
      </c>
      <c r="Y17" s="28">
        <v>100</v>
      </c>
      <c r="Z17" s="28">
        <v>89.7</v>
      </c>
      <c r="AA17" s="28">
        <v>67.9</v>
      </c>
      <c r="AB17" s="28">
        <v>93.2</v>
      </c>
      <c r="AC17" s="27">
        <v>100</v>
      </c>
      <c r="AD17" s="27">
        <v>85.2</v>
      </c>
      <c r="AE17" s="27">
        <v>66.1</v>
      </c>
      <c r="AF17" s="28">
        <v>66.3</v>
      </c>
      <c r="AG17" s="28">
        <v>88.2</v>
      </c>
      <c r="AH17" s="28">
        <v>100</v>
      </c>
      <c r="AI17" s="27">
        <v>75.2</v>
      </c>
      <c r="AJ17" s="28">
        <v>69.45</v>
      </c>
      <c r="AK17" s="28">
        <v>79.24</v>
      </c>
      <c r="AL17" s="28">
        <v>91.38</v>
      </c>
      <c r="AM17" s="28">
        <v>100</v>
      </c>
      <c r="AN17" s="27">
        <v>82</v>
      </c>
      <c r="AO17" s="27">
        <v>85.3</v>
      </c>
      <c r="AQ17" s="40">
        <f>+AQ98/$AQ$100</f>
        <v>0.7261963909933185</v>
      </c>
      <c r="AR17" s="40"/>
      <c r="AS17" s="40"/>
      <c r="AT17" s="40"/>
      <c r="AU17" s="40"/>
      <c r="AV17" s="27"/>
      <c r="AW17" s="27"/>
      <c r="AX17" s="27"/>
      <c r="AY17" s="27"/>
      <c r="AZ17" s="27"/>
      <c r="BA17" s="27"/>
      <c r="BB17" s="27"/>
    </row>
    <row r="18" spans="1:54" ht="12.75">
      <c r="A18" s="10" t="s">
        <v>217</v>
      </c>
      <c r="B18" s="260"/>
      <c r="C18" s="27">
        <v>29.5</v>
      </c>
      <c r="D18" s="27">
        <v>16.7</v>
      </c>
      <c r="E18" s="27">
        <v>0</v>
      </c>
      <c r="F18" s="27">
        <v>25.5</v>
      </c>
      <c r="G18" s="129">
        <v>11</v>
      </c>
      <c r="H18" s="129">
        <v>10.4</v>
      </c>
      <c r="I18" s="27">
        <v>33</v>
      </c>
      <c r="J18" s="27">
        <v>11</v>
      </c>
      <c r="K18" s="27">
        <v>0</v>
      </c>
      <c r="L18" s="27">
        <v>75</v>
      </c>
      <c r="M18" s="27">
        <v>0</v>
      </c>
      <c r="N18" s="129">
        <v>14</v>
      </c>
      <c r="O18" s="129">
        <v>19</v>
      </c>
      <c r="P18" s="28">
        <v>35.1</v>
      </c>
      <c r="Q18" s="28">
        <v>11</v>
      </c>
      <c r="R18" s="28">
        <v>0</v>
      </c>
      <c r="S18" s="27">
        <v>20.4</v>
      </c>
      <c r="T18" s="27">
        <v>42</v>
      </c>
      <c r="U18" s="27">
        <v>32.9</v>
      </c>
      <c r="V18" s="27">
        <v>15.7</v>
      </c>
      <c r="W18" s="27">
        <v>0</v>
      </c>
      <c r="X18" s="28">
        <v>34.4</v>
      </c>
      <c r="Y18" s="28">
        <v>0</v>
      </c>
      <c r="Z18" s="28">
        <v>10.3</v>
      </c>
      <c r="AA18" s="28">
        <v>32.1</v>
      </c>
      <c r="AB18" s="28">
        <v>6.8</v>
      </c>
      <c r="AC18" s="27">
        <v>0</v>
      </c>
      <c r="AD18" s="27">
        <v>14.8</v>
      </c>
      <c r="AE18" s="27">
        <v>33.9</v>
      </c>
      <c r="AF18" s="28">
        <v>33.7</v>
      </c>
      <c r="AG18" s="28">
        <v>11.8</v>
      </c>
      <c r="AH18" s="28">
        <v>0</v>
      </c>
      <c r="AI18" s="27">
        <v>24.8</v>
      </c>
      <c r="AJ18" s="28">
        <v>30.55</v>
      </c>
      <c r="AK18" s="28">
        <v>20.76</v>
      </c>
      <c r="AL18" s="28">
        <v>8.62</v>
      </c>
      <c r="AM18" s="28">
        <v>0</v>
      </c>
      <c r="AN18" s="27">
        <v>18</v>
      </c>
      <c r="AO18" s="27">
        <v>14.7</v>
      </c>
      <c r="AQ18" s="40">
        <f>+AQ99/$AQ$100</f>
        <v>0.27380360900668144</v>
      </c>
      <c r="AR18" s="40"/>
      <c r="AS18" s="40"/>
      <c r="AT18" s="40"/>
      <c r="AU18" s="40"/>
      <c r="AV18" s="27"/>
      <c r="AW18" s="27"/>
      <c r="AX18" s="27"/>
      <c r="AY18" s="27"/>
      <c r="AZ18" s="27"/>
      <c r="BA18" s="27"/>
      <c r="BB18" s="27"/>
    </row>
    <row r="19" spans="1:49" s="86" customFormat="1" ht="12.75">
      <c r="A19" s="84" t="s">
        <v>442</v>
      </c>
      <c r="B19" s="261">
        <v>4</v>
      </c>
      <c r="C19" s="26">
        <f>SUM(C17:C18)</f>
        <v>100</v>
      </c>
      <c r="D19" s="26">
        <f aca="true" t="shared" si="3" ref="D19:AO19">SUM(D17:D18)</f>
        <v>100</v>
      </c>
      <c r="E19" s="26">
        <f t="shared" si="3"/>
        <v>100</v>
      </c>
      <c r="F19" s="26">
        <f t="shared" si="3"/>
        <v>100</v>
      </c>
      <c r="G19" s="26">
        <f t="shared" si="3"/>
        <v>100</v>
      </c>
      <c r="H19" s="26">
        <f t="shared" si="3"/>
        <v>100</v>
      </c>
      <c r="I19" s="26">
        <f t="shared" si="3"/>
        <v>100</v>
      </c>
      <c r="J19" s="26">
        <f t="shared" si="3"/>
        <v>100</v>
      </c>
      <c r="K19" s="26">
        <f t="shared" si="3"/>
        <v>100</v>
      </c>
      <c r="L19" s="26">
        <f t="shared" si="3"/>
        <v>100</v>
      </c>
      <c r="M19" s="26">
        <f t="shared" si="3"/>
        <v>100</v>
      </c>
      <c r="N19" s="26">
        <f t="shared" si="3"/>
        <v>100</v>
      </c>
      <c r="O19" s="26">
        <f t="shared" si="3"/>
        <v>100</v>
      </c>
      <c r="P19" s="26">
        <f>SUM(P17:P18)</f>
        <v>100</v>
      </c>
      <c r="Q19" s="26">
        <f>SUM(Q17:Q18)</f>
        <v>100</v>
      </c>
      <c r="R19" s="26">
        <f>SUM(R17:R18)</f>
        <v>100</v>
      </c>
      <c r="S19" s="26">
        <f t="shared" si="3"/>
        <v>100</v>
      </c>
      <c r="T19" s="26">
        <f t="shared" si="3"/>
        <v>100</v>
      </c>
      <c r="U19" s="26">
        <f t="shared" si="3"/>
        <v>100</v>
      </c>
      <c r="V19" s="26">
        <f t="shared" si="3"/>
        <v>100</v>
      </c>
      <c r="W19" s="26">
        <f t="shared" si="3"/>
        <v>100</v>
      </c>
      <c r="X19" s="26">
        <f t="shared" si="3"/>
        <v>100</v>
      </c>
      <c r="Y19" s="26">
        <f t="shared" si="3"/>
        <v>100</v>
      </c>
      <c r="Z19" s="26">
        <f t="shared" si="3"/>
        <v>100</v>
      </c>
      <c r="AA19" s="26">
        <f t="shared" si="3"/>
        <v>100</v>
      </c>
      <c r="AB19" s="26">
        <f t="shared" si="3"/>
        <v>100</v>
      </c>
      <c r="AC19" s="26">
        <f t="shared" si="3"/>
        <v>100</v>
      </c>
      <c r="AD19" s="26">
        <f t="shared" si="3"/>
        <v>100</v>
      </c>
      <c r="AE19" s="26">
        <f t="shared" si="3"/>
        <v>100</v>
      </c>
      <c r="AF19" s="26">
        <f>SUM(AF17:AF18)</f>
        <v>100</v>
      </c>
      <c r="AG19" s="26">
        <f>SUM(AG17:AG18)</f>
        <v>100</v>
      </c>
      <c r="AH19" s="26">
        <f>SUM(AH17:AH18)</f>
        <v>100</v>
      </c>
      <c r="AI19" s="26">
        <f t="shared" si="3"/>
        <v>100</v>
      </c>
      <c r="AJ19" s="8">
        <f>SUM(AJ17:AJ18)</f>
        <v>100</v>
      </c>
      <c r="AK19" s="8">
        <f>SUM(AK17:AK18)</f>
        <v>100</v>
      </c>
      <c r="AL19" s="8">
        <f>SUM(AL17:AL18)</f>
        <v>100</v>
      </c>
      <c r="AM19" s="8">
        <f>SUM(AM17:AM18)</f>
        <v>100</v>
      </c>
      <c r="AN19" s="26">
        <f t="shared" si="3"/>
        <v>100</v>
      </c>
      <c r="AO19" s="26">
        <f t="shared" si="3"/>
        <v>100</v>
      </c>
      <c r="AQ19" s="83">
        <f>SUM(AQ17:AQ18)</f>
        <v>0.9999999999999999</v>
      </c>
      <c r="AR19" s="83"/>
      <c r="AS19" s="84"/>
      <c r="AT19" s="84"/>
      <c r="AU19" s="84"/>
      <c r="AV19" s="85"/>
      <c r="AW19" s="87"/>
    </row>
    <row r="20" spans="1:49" s="47" customFormat="1" ht="21.75" customHeight="1">
      <c r="A20" s="10" t="s">
        <v>438</v>
      </c>
      <c r="B20" s="260">
        <v>5</v>
      </c>
      <c r="C20" s="26">
        <v>2293</v>
      </c>
      <c r="D20" s="26">
        <v>689</v>
      </c>
      <c r="E20" s="26">
        <v>306</v>
      </c>
      <c r="F20" s="26">
        <v>14438</v>
      </c>
      <c r="G20" s="8">
        <v>453</v>
      </c>
      <c r="H20" s="8">
        <v>10989</v>
      </c>
      <c r="I20" s="26">
        <v>2462</v>
      </c>
      <c r="J20" s="26">
        <v>200</v>
      </c>
      <c r="K20" s="26">
        <v>39</v>
      </c>
      <c r="L20" s="8">
        <v>1519</v>
      </c>
      <c r="M20" s="8">
        <v>8557</v>
      </c>
      <c r="N20" s="8">
        <v>1593</v>
      </c>
      <c r="O20" s="8">
        <v>9770</v>
      </c>
      <c r="P20" s="8">
        <v>4619</v>
      </c>
      <c r="Q20" s="8">
        <v>332</v>
      </c>
      <c r="R20" s="8">
        <v>760</v>
      </c>
      <c r="S20" s="26">
        <v>3859</v>
      </c>
      <c r="T20" s="283">
        <v>3315</v>
      </c>
      <c r="U20" s="283">
        <v>4034</v>
      </c>
      <c r="V20" s="283">
        <v>478</v>
      </c>
      <c r="W20" s="283">
        <v>137</v>
      </c>
      <c r="X20" s="8">
        <v>42</v>
      </c>
      <c r="Y20" s="8">
        <v>2727</v>
      </c>
      <c r="Z20" s="26">
        <v>2026</v>
      </c>
      <c r="AA20" s="50">
        <v>4131</v>
      </c>
      <c r="AB20" s="129">
        <v>1067</v>
      </c>
      <c r="AC20" s="8">
        <v>750</v>
      </c>
      <c r="AD20" s="26">
        <v>108</v>
      </c>
      <c r="AE20" s="26">
        <v>598</v>
      </c>
      <c r="AF20" s="133">
        <v>764</v>
      </c>
      <c r="AG20" s="133">
        <v>36</v>
      </c>
      <c r="AH20" s="133">
        <v>37</v>
      </c>
      <c r="AI20" s="26">
        <v>1050</v>
      </c>
      <c r="AJ20" s="8">
        <v>4003</v>
      </c>
      <c r="AK20" s="8">
        <v>2096</v>
      </c>
      <c r="AL20" s="8">
        <v>401</v>
      </c>
      <c r="AM20" s="8">
        <v>808</v>
      </c>
      <c r="AN20" s="26">
        <v>78</v>
      </c>
      <c r="AO20" s="26">
        <v>310</v>
      </c>
      <c r="AQ20" s="7">
        <f>SUM(C20:AP20)</f>
        <v>91874</v>
      </c>
      <c r="AR20" s="7"/>
      <c r="AS20" s="7"/>
      <c r="AT20" s="7"/>
      <c r="AU20" s="7"/>
      <c r="AV20" s="26"/>
      <c r="AW20" s="26"/>
    </row>
    <row r="21" spans="1:49" s="47" customFormat="1" ht="12.75" customHeight="1">
      <c r="A21" s="10" t="s">
        <v>439</v>
      </c>
      <c r="B21" s="260">
        <v>6</v>
      </c>
      <c r="C21" s="26">
        <v>10</v>
      </c>
      <c r="D21" s="26">
        <v>1</v>
      </c>
      <c r="E21" s="26">
        <v>7</v>
      </c>
      <c r="F21" s="26">
        <v>9</v>
      </c>
      <c r="G21" s="8">
        <v>5</v>
      </c>
      <c r="H21" s="8">
        <v>108</v>
      </c>
      <c r="I21" s="8">
        <v>3</v>
      </c>
      <c r="J21" s="8">
        <v>1</v>
      </c>
      <c r="K21" s="26">
        <v>0</v>
      </c>
      <c r="L21" s="182">
        <v>4</v>
      </c>
      <c r="M21" s="182">
        <v>6</v>
      </c>
      <c r="N21" s="8">
        <v>90</v>
      </c>
      <c r="O21" s="8">
        <v>8</v>
      </c>
      <c r="P21" s="8">
        <v>404</v>
      </c>
      <c r="Q21" s="8">
        <v>66</v>
      </c>
      <c r="R21" s="8">
        <v>168</v>
      </c>
      <c r="S21" s="26">
        <v>8</v>
      </c>
      <c r="T21" s="284">
        <v>3</v>
      </c>
      <c r="U21" s="284">
        <v>63</v>
      </c>
      <c r="V21" s="284">
        <v>41</v>
      </c>
      <c r="W21" s="284">
        <v>37</v>
      </c>
      <c r="X21" s="8">
        <v>0</v>
      </c>
      <c r="Y21" s="8">
        <v>0</v>
      </c>
      <c r="Z21" s="26">
        <v>60</v>
      </c>
      <c r="AA21" s="50">
        <v>1086</v>
      </c>
      <c r="AB21" s="129">
        <v>0</v>
      </c>
      <c r="AC21" s="26">
        <v>1</v>
      </c>
      <c r="AD21" s="26">
        <v>0</v>
      </c>
      <c r="AE21" s="26">
        <v>0</v>
      </c>
      <c r="AF21" s="133">
        <v>319</v>
      </c>
      <c r="AG21" s="133">
        <v>0</v>
      </c>
      <c r="AH21" s="133">
        <v>0</v>
      </c>
      <c r="AI21" s="26">
        <v>0</v>
      </c>
      <c r="AJ21" s="8">
        <v>14</v>
      </c>
      <c r="AK21" s="8">
        <v>47</v>
      </c>
      <c r="AL21" s="8">
        <v>96</v>
      </c>
      <c r="AM21" s="8">
        <v>0</v>
      </c>
      <c r="AN21" s="26">
        <v>0</v>
      </c>
      <c r="AO21" s="26">
        <v>27</v>
      </c>
      <c r="AQ21" s="7">
        <f>SUM(C21:AP21)</f>
        <v>2692</v>
      </c>
      <c r="AR21" s="7"/>
      <c r="AS21" s="7"/>
      <c r="AT21" s="7"/>
      <c r="AU21" s="7"/>
      <c r="AV21" s="26"/>
      <c r="AW21" s="26"/>
    </row>
    <row r="22" spans="1:49" ht="17.25" customHeight="1">
      <c r="A22" s="10" t="s">
        <v>218</v>
      </c>
      <c r="B22" s="260"/>
      <c r="C22" s="27">
        <v>82.3</v>
      </c>
      <c r="D22" s="27">
        <v>100</v>
      </c>
      <c r="E22" s="27">
        <v>95.2</v>
      </c>
      <c r="F22" s="27">
        <v>100</v>
      </c>
      <c r="G22" s="28">
        <v>100</v>
      </c>
      <c r="H22" s="28">
        <v>100</v>
      </c>
      <c r="I22" s="28">
        <v>4</v>
      </c>
      <c r="J22" s="28">
        <v>89.3</v>
      </c>
      <c r="K22" s="27">
        <v>0</v>
      </c>
      <c r="L22" s="27">
        <v>100</v>
      </c>
      <c r="M22" s="27">
        <v>100</v>
      </c>
      <c r="N22" s="27">
        <v>98.9</v>
      </c>
      <c r="O22" s="27">
        <v>75</v>
      </c>
      <c r="P22" s="8">
        <v>65.3</v>
      </c>
      <c r="Q22" s="8">
        <v>84.1</v>
      </c>
      <c r="R22" s="8">
        <v>88.5</v>
      </c>
      <c r="S22" s="27">
        <v>100</v>
      </c>
      <c r="T22" s="26">
        <v>0</v>
      </c>
      <c r="U22" s="26">
        <v>0</v>
      </c>
      <c r="V22" s="26">
        <v>0</v>
      </c>
      <c r="W22" s="26">
        <v>0</v>
      </c>
      <c r="X22" s="8">
        <v>0</v>
      </c>
      <c r="Y22" s="8">
        <v>0</v>
      </c>
      <c r="Z22" s="28">
        <v>100</v>
      </c>
      <c r="AA22" s="28">
        <v>100</v>
      </c>
      <c r="AB22" s="27">
        <v>0</v>
      </c>
      <c r="AC22" s="27">
        <v>100</v>
      </c>
      <c r="AD22" s="28">
        <v>100</v>
      </c>
      <c r="AE22" s="28">
        <v>0</v>
      </c>
      <c r="AF22" s="28">
        <v>100</v>
      </c>
      <c r="AG22" s="133">
        <v>100</v>
      </c>
      <c r="AH22" s="133">
        <v>83.8</v>
      </c>
      <c r="AI22" s="27">
        <v>0</v>
      </c>
      <c r="AJ22" s="28">
        <v>37.35</v>
      </c>
      <c r="AK22" s="28">
        <v>77.27</v>
      </c>
      <c r="AL22" s="28">
        <v>96.7</v>
      </c>
      <c r="AM22" s="28">
        <v>0</v>
      </c>
      <c r="AN22" s="27">
        <v>0</v>
      </c>
      <c r="AO22" s="27">
        <v>91.9</v>
      </c>
      <c r="AQ22" s="40">
        <f>+AQ76/$AQ$81</f>
        <v>0.6315290892342579</v>
      </c>
      <c r="AR22" s="40"/>
      <c r="AS22" s="7"/>
      <c r="AT22" s="40"/>
      <c r="AU22" s="40"/>
      <c r="AV22" s="27"/>
      <c r="AW22" s="27"/>
    </row>
    <row r="23" spans="1:49" ht="12.75">
      <c r="A23" s="10" t="s">
        <v>219</v>
      </c>
      <c r="B23" s="260"/>
      <c r="C23" s="27">
        <v>6.2</v>
      </c>
      <c r="D23" s="27">
        <v>0</v>
      </c>
      <c r="E23" s="27">
        <v>1.1</v>
      </c>
      <c r="F23" s="27">
        <v>0</v>
      </c>
      <c r="G23" s="28"/>
      <c r="H23" s="28"/>
      <c r="I23" s="28">
        <v>87.5</v>
      </c>
      <c r="J23" s="28">
        <v>10.7</v>
      </c>
      <c r="K23" s="27">
        <v>0</v>
      </c>
      <c r="L23" s="27">
        <v>0</v>
      </c>
      <c r="M23" s="27">
        <v>0</v>
      </c>
      <c r="N23" s="27">
        <v>1.1</v>
      </c>
      <c r="O23" s="27">
        <v>25</v>
      </c>
      <c r="P23" s="28">
        <v>4.8</v>
      </c>
      <c r="Q23" s="28">
        <v>2.7</v>
      </c>
      <c r="R23" s="28">
        <v>1.5</v>
      </c>
      <c r="S23" s="27">
        <v>0</v>
      </c>
      <c r="T23" s="26">
        <v>0</v>
      </c>
      <c r="U23" s="26">
        <v>0</v>
      </c>
      <c r="V23" s="26">
        <v>0</v>
      </c>
      <c r="W23" s="26">
        <v>0</v>
      </c>
      <c r="X23" s="8">
        <v>0</v>
      </c>
      <c r="Y23" s="8">
        <v>0</v>
      </c>
      <c r="Z23" s="28">
        <v>0</v>
      </c>
      <c r="AA23" s="28"/>
      <c r="AB23" s="27">
        <v>0</v>
      </c>
      <c r="AC23" s="27">
        <v>0</v>
      </c>
      <c r="AD23" s="28">
        <v>0</v>
      </c>
      <c r="AE23" s="28">
        <v>0</v>
      </c>
      <c r="AF23" s="28">
        <v>0</v>
      </c>
      <c r="AG23" s="133">
        <v>0</v>
      </c>
      <c r="AH23" s="133">
        <v>16.2</v>
      </c>
      <c r="AI23" s="27">
        <v>0</v>
      </c>
      <c r="AJ23" s="28">
        <v>44.18</v>
      </c>
      <c r="AK23" s="28">
        <v>7.89</v>
      </c>
      <c r="AL23" s="28">
        <v>0</v>
      </c>
      <c r="AM23" s="28">
        <v>0</v>
      </c>
      <c r="AN23" s="27">
        <v>0</v>
      </c>
      <c r="AO23" s="27">
        <v>1.4</v>
      </c>
      <c r="AQ23" s="40">
        <f>+AQ77/$AQ$81</f>
        <v>0.021331420070900078</v>
      </c>
      <c r="AR23" s="40"/>
      <c r="AS23" s="7"/>
      <c r="AT23" s="40"/>
      <c r="AU23" s="40"/>
      <c r="AV23" s="27"/>
      <c r="AW23" s="27"/>
    </row>
    <row r="24" spans="1:49" ht="12.75">
      <c r="A24" s="10" t="s">
        <v>220</v>
      </c>
      <c r="B24" s="260"/>
      <c r="C24" s="27">
        <v>4.1</v>
      </c>
      <c r="D24" s="27">
        <v>0</v>
      </c>
      <c r="E24" s="27">
        <v>3.7</v>
      </c>
      <c r="F24" s="27">
        <v>0</v>
      </c>
      <c r="G24" s="28"/>
      <c r="H24" s="28"/>
      <c r="I24" s="28">
        <v>8.5</v>
      </c>
      <c r="J24" s="28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8">
        <v>16.9</v>
      </c>
      <c r="Q24" s="28">
        <v>3.6</v>
      </c>
      <c r="R24" s="28">
        <v>7.7</v>
      </c>
      <c r="S24" s="27">
        <v>0</v>
      </c>
      <c r="T24" s="26">
        <v>0</v>
      </c>
      <c r="U24" s="26">
        <v>0</v>
      </c>
      <c r="V24" s="26">
        <v>0</v>
      </c>
      <c r="W24" s="26">
        <v>0</v>
      </c>
      <c r="X24" s="8">
        <v>0</v>
      </c>
      <c r="Y24" s="8">
        <v>0</v>
      </c>
      <c r="Z24" s="28">
        <v>0</v>
      </c>
      <c r="AA24" s="28"/>
      <c r="AB24" s="27">
        <v>0</v>
      </c>
      <c r="AC24" s="27">
        <v>0</v>
      </c>
      <c r="AD24" s="28">
        <v>0</v>
      </c>
      <c r="AE24" s="28">
        <v>0</v>
      </c>
      <c r="AF24" s="28">
        <v>0</v>
      </c>
      <c r="AG24" s="133">
        <v>0</v>
      </c>
      <c r="AH24" s="133">
        <v>0</v>
      </c>
      <c r="AI24" s="27">
        <v>0</v>
      </c>
      <c r="AJ24" s="28">
        <v>0</v>
      </c>
      <c r="AK24" s="28">
        <v>8.73</v>
      </c>
      <c r="AL24" s="28">
        <v>3.3</v>
      </c>
      <c r="AM24" s="28">
        <v>0</v>
      </c>
      <c r="AN24" s="27">
        <v>0</v>
      </c>
      <c r="AO24" s="27">
        <v>4.8</v>
      </c>
      <c r="AQ24" s="40">
        <f>+AQ78/$AQ$81</f>
        <v>0.05725769182245657</v>
      </c>
      <c r="AR24" s="40"/>
      <c r="AS24" s="7"/>
      <c r="AT24" s="40"/>
      <c r="AU24" s="40"/>
      <c r="AV24" s="27"/>
      <c r="AW24" s="27"/>
    </row>
    <row r="25" spans="1:49" ht="12.75">
      <c r="A25" s="10" t="s">
        <v>221</v>
      </c>
      <c r="B25" s="260"/>
      <c r="C25" s="27">
        <v>7.5</v>
      </c>
      <c r="D25" s="27">
        <v>0</v>
      </c>
      <c r="E25" s="27">
        <v>0</v>
      </c>
      <c r="F25" s="27">
        <v>0</v>
      </c>
      <c r="G25" s="28"/>
      <c r="H25" s="28"/>
      <c r="I25" s="28">
        <v>0</v>
      </c>
      <c r="J25" s="28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8">
        <v>9.7</v>
      </c>
      <c r="Q25" s="28">
        <v>9.6</v>
      </c>
      <c r="R25" s="28">
        <v>2.2</v>
      </c>
      <c r="S25" s="27">
        <v>0</v>
      </c>
      <c r="T25" s="26">
        <v>0</v>
      </c>
      <c r="U25" s="26">
        <v>0</v>
      </c>
      <c r="V25" s="26">
        <v>0</v>
      </c>
      <c r="W25" s="26">
        <v>0</v>
      </c>
      <c r="X25" s="8">
        <v>0</v>
      </c>
      <c r="Y25" s="8">
        <v>0</v>
      </c>
      <c r="Z25" s="28">
        <v>0</v>
      </c>
      <c r="AA25" s="28"/>
      <c r="AB25" s="27">
        <v>0</v>
      </c>
      <c r="AC25" s="27">
        <v>0</v>
      </c>
      <c r="AD25" s="28">
        <v>0</v>
      </c>
      <c r="AE25" s="28">
        <v>0</v>
      </c>
      <c r="AF25" s="28">
        <v>0</v>
      </c>
      <c r="AG25" s="133">
        <v>0</v>
      </c>
      <c r="AH25" s="133">
        <v>0</v>
      </c>
      <c r="AI25" s="27">
        <v>0</v>
      </c>
      <c r="AJ25" s="28">
        <v>18.47</v>
      </c>
      <c r="AK25" s="28">
        <v>6.1</v>
      </c>
      <c r="AL25" s="28">
        <v>0</v>
      </c>
      <c r="AM25" s="28">
        <v>0</v>
      </c>
      <c r="AN25" s="27">
        <v>0</v>
      </c>
      <c r="AO25" s="27">
        <v>2</v>
      </c>
      <c r="AQ25" s="40">
        <f>+AQ79/$AQ$81</f>
        <v>0.030422896059031732</v>
      </c>
      <c r="AR25" s="40"/>
      <c r="AS25" s="7"/>
      <c r="AT25" s="40"/>
      <c r="AU25" s="40"/>
      <c r="AV25" s="27"/>
      <c r="AW25" s="27"/>
    </row>
    <row r="26" spans="1:49" ht="12.75">
      <c r="A26" s="10" t="s">
        <v>440</v>
      </c>
      <c r="B26" s="260">
        <v>7</v>
      </c>
      <c r="C26" s="27">
        <v>0</v>
      </c>
      <c r="D26" s="27">
        <v>0</v>
      </c>
      <c r="E26" s="27">
        <v>0</v>
      </c>
      <c r="F26" s="27">
        <v>0</v>
      </c>
      <c r="G26" s="28"/>
      <c r="H26" s="28"/>
      <c r="I26" s="28">
        <v>0</v>
      </c>
      <c r="J26" s="28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>
        <v>3.3</v>
      </c>
      <c r="Q26" s="28">
        <v>0</v>
      </c>
      <c r="R26" s="28">
        <v>0</v>
      </c>
      <c r="S26" s="27">
        <v>0</v>
      </c>
      <c r="T26" s="27">
        <v>100</v>
      </c>
      <c r="U26" s="27">
        <v>100</v>
      </c>
      <c r="V26" s="27">
        <v>100</v>
      </c>
      <c r="W26" s="27">
        <v>100</v>
      </c>
      <c r="X26" s="8">
        <v>0</v>
      </c>
      <c r="Y26" s="8"/>
      <c r="Z26" s="28">
        <v>0</v>
      </c>
      <c r="AA26" s="28"/>
      <c r="AB26" s="27">
        <v>0</v>
      </c>
      <c r="AC26" s="27">
        <v>0</v>
      </c>
      <c r="AD26" s="28">
        <v>0</v>
      </c>
      <c r="AE26" s="28">
        <v>0</v>
      </c>
      <c r="AF26" s="28">
        <v>0</v>
      </c>
      <c r="AG26" s="133">
        <v>0</v>
      </c>
      <c r="AH26" s="133">
        <v>0</v>
      </c>
      <c r="AI26" s="27">
        <v>0</v>
      </c>
      <c r="AJ26" s="28">
        <v>0</v>
      </c>
      <c r="AK26" s="28">
        <v>0</v>
      </c>
      <c r="AL26" s="28">
        <v>0</v>
      </c>
      <c r="AM26" s="28">
        <v>0</v>
      </c>
      <c r="AN26" s="27">
        <v>0</v>
      </c>
      <c r="AO26" s="27">
        <v>0</v>
      </c>
      <c r="AQ26" s="40">
        <f>+AQ80/$AQ$81</f>
        <v>0.25945890281335393</v>
      </c>
      <c r="AR26" s="40"/>
      <c r="AS26" s="7"/>
      <c r="AT26" s="40"/>
      <c r="AU26" s="40"/>
      <c r="AV26" s="27"/>
      <c r="AW26" s="27"/>
    </row>
    <row r="27" spans="1:49" s="86" customFormat="1" ht="12.75">
      <c r="A27" s="84" t="s">
        <v>222</v>
      </c>
      <c r="B27" s="261"/>
      <c r="C27" s="26">
        <f aca="true" t="shared" si="4" ref="C27:AO27">SUM(C22:C26)</f>
        <v>100.1</v>
      </c>
      <c r="D27" s="26">
        <f t="shared" si="4"/>
        <v>100</v>
      </c>
      <c r="E27" s="26">
        <f t="shared" si="4"/>
        <v>100</v>
      </c>
      <c r="F27" s="26">
        <f t="shared" si="4"/>
        <v>100</v>
      </c>
      <c r="G27" s="8">
        <f t="shared" si="4"/>
        <v>100</v>
      </c>
      <c r="H27" s="8">
        <f t="shared" si="4"/>
        <v>100</v>
      </c>
      <c r="I27" s="26">
        <f t="shared" si="4"/>
        <v>100</v>
      </c>
      <c r="J27" s="26">
        <f t="shared" si="4"/>
        <v>100</v>
      </c>
      <c r="K27" s="26">
        <f t="shared" si="4"/>
        <v>0</v>
      </c>
      <c r="L27" s="26">
        <f t="shared" si="4"/>
        <v>100</v>
      </c>
      <c r="M27" s="26">
        <f t="shared" si="4"/>
        <v>100</v>
      </c>
      <c r="N27" s="26">
        <f t="shared" si="4"/>
        <v>100</v>
      </c>
      <c r="O27" s="26">
        <f t="shared" si="4"/>
        <v>100</v>
      </c>
      <c r="P27" s="26">
        <f>SUM(P22:P26)</f>
        <v>100</v>
      </c>
      <c r="Q27" s="26">
        <f>SUM(Q22:Q26)</f>
        <v>99.99999999999999</v>
      </c>
      <c r="R27" s="26">
        <f>SUM(R22:R26)</f>
        <v>99.9</v>
      </c>
      <c r="S27" s="26">
        <f t="shared" si="4"/>
        <v>100</v>
      </c>
      <c r="T27" s="26">
        <f t="shared" si="4"/>
        <v>100</v>
      </c>
      <c r="U27" s="26">
        <f t="shared" si="4"/>
        <v>100</v>
      </c>
      <c r="V27" s="26">
        <f t="shared" si="4"/>
        <v>100</v>
      </c>
      <c r="W27" s="26">
        <f t="shared" si="4"/>
        <v>100</v>
      </c>
      <c r="X27" s="26">
        <f t="shared" si="4"/>
        <v>0</v>
      </c>
      <c r="Y27" s="26">
        <f t="shared" si="4"/>
        <v>0</v>
      </c>
      <c r="Z27" s="8">
        <f t="shared" si="4"/>
        <v>100</v>
      </c>
      <c r="AA27" s="26">
        <f t="shared" si="4"/>
        <v>100</v>
      </c>
      <c r="AB27" s="26">
        <f t="shared" si="4"/>
        <v>0</v>
      </c>
      <c r="AC27" s="26">
        <f t="shared" si="4"/>
        <v>100</v>
      </c>
      <c r="AD27" s="8">
        <f t="shared" si="4"/>
        <v>100</v>
      </c>
      <c r="AE27" s="8">
        <f t="shared" si="4"/>
        <v>0</v>
      </c>
      <c r="AF27" s="26">
        <f>SUM(AF22:AF26)</f>
        <v>100</v>
      </c>
      <c r="AG27" s="26">
        <f>SUM(AG22:AG26)</f>
        <v>100</v>
      </c>
      <c r="AH27" s="26">
        <f>SUM(AH22:AH26)</f>
        <v>100</v>
      </c>
      <c r="AI27" s="26">
        <f t="shared" si="4"/>
        <v>0</v>
      </c>
      <c r="AJ27" s="26">
        <f t="shared" si="4"/>
        <v>100</v>
      </c>
      <c r="AK27" s="26">
        <f t="shared" si="4"/>
        <v>99.99</v>
      </c>
      <c r="AL27" s="26">
        <f t="shared" si="4"/>
        <v>100</v>
      </c>
      <c r="AM27" s="8">
        <f t="shared" si="4"/>
        <v>0</v>
      </c>
      <c r="AN27" s="26">
        <f t="shared" si="4"/>
        <v>0</v>
      </c>
      <c r="AO27" s="26">
        <f t="shared" si="4"/>
        <v>100.10000000000001</v>
      </c>
      <c r="AQ27" s="83">
        <f>SUM(AQ22:AQ26)</f>
        <v>1</v>
      </c>
      <c r="AR27" s="83"/>
      <c r="AS27" s="84"/>
      <c r="AT27" s="84"/>
      <c r="AU27" s="84"/>
      <c r="AV27" s="85"/>
      <c r="AW27" s="87"/>
    </row>
    <row r="28" spans="1:49" ht="21.75" customHeight="1">
      <c r="A28" s="10" t="s">
        <v>443</v>
      </c>
      <c r="B28" s="255">
        <v>8</v>
      </c>
      <c r="C28" s="29">
        <f>+'5.1. Séreignard.'!B21/'5.1. Séreignard.'!B14</f>
        <v>0.026653312645546517</v>
      </c>
      <c r="D28" s="29">
        <f>+'5.1. Séreignard.'!C21/'5.1. Séreignard.'!C14</f>
        <v>0.01837029625924073</v>
      </c>
      <c r="E28" s="29">
        <f>+'5.1. Séreignard.'!D21/'5.1. Séreignard.'!D14</f>
        <v>0.22705306201613035</v>
      </c>
      <c r="F28" s="29">
        <f>+'5.1. Séreignard.'!E21/'5.1. Séreignard.'!E14</f>
        <v>0.028740433682751955</v>
      </c>
      <c r="G28" s="29">
        <f>+'5.1. Séreignard.'!F21/'5.1. Séreignard.'!F14</f>
        <v>0.03768625987544349</v>
      </c>
      <c r="H28" s="29">
        <f>+'5.1. Séreignard.'!G21/'5.1. Séreignard.'!G14</f>
        <v>0.02886412120357502</v>
      </c>
      <c r="I28" s="29">
        <f>+'5.1. Séreignard.'!H21/'5.1. Séreignard.'!H14</f>
        <v>0.01790311957367822</v>
      </c>
      <c r="J28" s="29">
        <f>+'5.1. Séreignard.'!I21/'5.1. Séreignard.'!I14</f>
        <v>0.0036503751774487935</v>
      </c>
      <c r="K28" s="29">
        <f>+'5.1. Séreignard.'!J21/'5.1. Séreignard.'!J14</f>
        <v>0</v>
      </c>
      <c r="L28" s="29">
        <f>+'5.1. Séreignard.'!K21/'5.1. Séreignard.'!K14</f>
        <v>0.0946080184368419</v>
      </c>
      <c r="M28" s="29">
        <f>+'5.1. Séreignard.'!L21/'5.1. Séreignard.'!L14</f>
        <v>0.02729753480412562</v>
      </c>
      <c r="N28" s="29">
        <f>+'5.1. Séreignard.'!M21/'5.1. Séreignard.'!M14</f>
        <v>0.28130086490281814</v>
      </c>
      <c r="O28" s="29">
        <f>+'5.1. Séreignard.'!N21/'5.1. Séreignard.'!N14</f>
        <v>0.003745318352059925</v>
      </c>
      <c r="P28" s="29">
        <f>+'5.1. Séreignard.'!O21/'5.1. Séreignard.'!O14</f>
        <v>0.08714668617431237</v>
      </c>
      <c r="Q28" s="29">
        <f>+'5.1. Séreignard.'!P21/'5.1. Séreignard.'!P14</f>
        <v>0.07681061827178852</v>
      </c>
      <c r="R28" s="29">
        <f>+'5.1. Séreignard.'!Q21/'5.1. Séreignard.'!Q14</f>
        <v>0.6493179610286384</v>
      </c>
      <c r="S28" s="29">
        <f>+'5.1. Séreignard.'!R21/'5.1. Séreignard.'!R14</f>
        <v>0.012701963212238621</v>
      </c>
      <c r="T28" s="29">
        <f>+'5.1. Séreignard.'!S21/'5.1. Séreignard.'!S14</f>
        <v>0.006138318414676999</v>
      </c>
      <c r="U28" s="29">
        <f>+'5.1. Séreignard.'!T21/'5.1. Séreignard.'!T14</f>
        <v>0.07470425042138638</v>
      </c>
      <c r="V28" s="29">
        <f>+'5.1. Séreignard.'!U21/'5.1. Séreignard.'!U14</f>
        <v>0.12889023053606707</v>
      </c>
      <c r="W28" s="29">
        <f>+'5.1. Séreignard.'!V21/'5.1. Séreignard.'!V14</f>
        <v>0.17204547832822123</v>
      </c>
      <c r="X28" s="29">
        <f>+'5.1. Séreignard.'!W21/'5.1. Séreignard.'!W14</f>
        <v>0</v>
      </c>
      <c r="Y28" s="29">
        <f>+'5.1. Séreignard.'!X21/'5.1. Séreignard.'!X14</f>
        <v>0</v>
      </c>
      <c r="Z28" s="30">
        <f>+'5.1. Séreignard.'!Y21/'5.1. Séreignard.'!Y14</f>
        <v>0.31557305577736783</v>
      </c>
      <c r="AA28" s="29">
        <f>+'5.1. Séreignard.'!Z21/'5.1. Séreignard.'!Z14</f>
        <v>0.00258643642311057</v>
      </c>
      <c r="AB28" s="29">
        <f>+'5.1. Séreignard.'!AA21/'5.1. Séreignard.'!AA14</f>
        <v>0</v>
      </c>
      <c r="AC28" s="29">
        <f>+'5.1. Séreignard.'!AB21/'5.1. Séreignard.'!AB14</f>
        <v>0.001172369111159103</v>
      </c>
      <c r="AD28" s="30">
        <f>+'5.1. Séreignard.'!AC21/'5.1. Séreignard.'!AC14</f>
        <v>0.026323706377858004</v>
      </c>
      <c r="AE28" s="30">
        <f>+'5.1. Séreignard.'!AD21/'5.1. Séreignard.'!AD14</f>
        <v>0</v>
      </c>
      <c r="AF28" s="29">
        <f>+'5.1. Séreignard.'!AE21/'5.1. Séreignard.'!AE14</f>
        <v>0.0029151283937289014</v>
      </c>
      <c r="AG28" s="29">
        <f>+'5.1. Séreignard.'!AF21/'5.1. Séreignard.'!AF14</f>
        <v>0.1949336296324504</v>
      </c>
      <c r="AH28" s="29">
        <f>+'5.1. Séreignard.'!AG21/'5.1. Séreignard.'!AG14</f>
        <v>0.5524527045904278</v>
      </c>
      <c r="AI28" s="29">
        <f>+'5.1. Séreignard.'!AH21/'5.1. Séreignard.'!AH14</f>
        <v>0</v>
      </c>
      <c r="AJ28" s="30">
        <f>+'5.1. Séreignard.'!AI21/'5.1. Séreignard.'!AI14</f>
        <v>0.008736996291459959</v>
      </c>
      <c r="AK28" s="30">
        <f>+'5.1. Séreignard.'!AJ21/'5.1. Séreignard.'!AJ14</f>
        <v>0.02990087931753503</v>
      </c>
      <c r="AL28" s="30">
        <f>+'5.1. Séreignard.'!AK21/'5.1. Séreignard.'!AK14</f>
        <v>0.6997358180573916</v>
      </c>
      <c r="AM28" s="30">
        <f>+'5.1. Séreignard.'!AL21/'5.1. Séreignard.'!AL14</f>
        <v>0.021294708462926883</v>
      </c>
      <c r="AN28" s="29">
        <f>+'5.1. Séreignard.'!AM21/'5.1. Séreignard.'!AM14</f>
        <v>0</v>
      </c>
      <c r="AO28" s="29">
        <f>+'5.1. Séreignard.'!AN21/'5.1. Séreignard.'!AN14</f>
        <v>0.6787241039131865</v>
      </c>
      <c r="AP28" s="29"/>
      <c r="AQ28" s="29">
        <f>+'5.1. Séreignard.'!AP21/'5.1. Séreignard.'!AP14</f>
        <v>0.08264603637990178</v>
      </c>
      <c r="AR28" s="29"/>
      <c r="AS28" s="29"/>
      <c r="AT28" s="29"/>
      <c r="AU28" s="29"/>
      <c r="AV28" s="27"/>
      <c r="AW28" s="27"/>
    </row>
    <row r="29" spans="1:49" ht="12.75">
      <c r="A29" s="10"/>
      <c r="B29" s="260"/>
      <c r="C29" s="54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31"/>
      <c r="Q29" s="31"/>
      <c r="R29" s="31"/>
      <c r="T29" s="25"/>
      <c r="U29" s="25"/>
      <c r="V29" s="25"/>
      <c r="W29" s="25"/>
      <c r="X29" s="29"/>
      <c r="Y29" s="29"/>
      <c r="AD29" s="29"/>
      <c r="AE29" s="29"/>
      <c r="AF29" s="30"/>
      <c r="AG29" s="30"/>
      <c r="AH29" s="30"/>
      <c r="AI29" s="29"/>
      <c r="AJ29" s="29"/>
      <c r="AK29" s="29"/>
      <c r="AL29" s="29"/>
      <c r="AM29" s="29"/>
      <c r="AN29" s="29"/>
      <c r="AO29" s="29"/>
      <c r="AQ29" s="29"/>
      <c r="AR29" s="29"/>
      <c r="AS29" s="29"/>
      <c r="AT29" s="5"/>
      <c r="AU29" s="5"/>
      <c r="AV29" s="27"/>
      <c r="AW29" s="27"/>
    </row>
    <row r="30" spans="1:49" ht="12.75">
      <c r="A30" s="74"/>
      <c r="B30" s="260"/>
      <c r="C30" s="262"/>
      <c r="D30" s="30"/>
      <c r="E30" s="30"/>
      <c r="F30" s="25"/>
      <c r="G30" s="25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T30" s="25"/>
      <c r="U30" s="25"/>
      <c r="V30" s="25"/>
      <c r="W30" s="25"/>
      <c r="X30" s="25"/>
      <c r="Y30" s="25"/>
      <c r="Z30" s="25"/>
      <c r="AB30" s="25"/>
      <c r="AD30" s="25"/>
      <c r="AE30" s="25"/>
      <c r="AF30" s="8"/>
      <c r="AG30" s="8"/>
      <c r="AH30" s="8"/>
      <c r="AI30" s="23"/>
      <c r="AJ30" s="25"/>
      <c r="AK30" s="25"/>
      <c r="AL30" s="25"/>
      <c r="AM30" s="25"/>
      <c r="AN30" s="25"/>
      <c r="AO30" s="26"/>
      <c r="AQ30" s="26"/>
      <c r="AR30" s="26"/>
      <c r="AS30" s="26"/>
      <c r="AT30" s="7"/>
      <c r="AU30" s="7"/>
      <c r="AV30" s="8"/>
      <c r="AW30" s="26"/>
    </row>
    <row r="31" spans="1:167" s="91" customFormat="1" ht="12.75">
      <c r="A31" s="9" t="s">
        <v>223</v>
      </c>
      <c r="B31" s="286"/>
      <c r="C31" s="285"/>
      <c r="D31" s="368" t="s">
        <v>495</v>
      </c>
      <c r="E31" s="368"/>
      <c r="F31" s="89"/>
      <c r="G31" s="367"/>
      <c r="H31" s="367"/>
      <c r="I31" s="246"/>
      <c r="J31" s="368" t="s">
        <v>495</v>
      </c>
      <c r="K31" s="368"/>
      <c r="L31" s="367" t="s">
        <v>478</v>
      </c>
      <c r="M31" s="367"/>
      <c r="N31" s="367" t="s">
        <v>478</v>
      </c>
      <c r="O31" s="367"/>
      <c r="P31" s="288"/>
      <c r="Q31" s="288" t="s">
        <v>497</v>
      </c>
      <c r="R31" s="288" t="s">
        <v>497</v>
      </c>
      <c r="S31" s="287"/>
      <c r="T31" s="288"/>
      <c r="U31" s="288"/>
      <c r="V31" s="288"/>
      <c r="W31" s="288" t="s">
        <v>501</v>
      </c>
      <c r="X31" s="89"/>
      <c r="Y31" s="89"/>
      <c r="Z31" s="89"/>
      <c r="AA31" s="287" t="s">
        <v>496</v>
      </c>
      <c r="AB31" s="287"/>
      <c r="AC31" s="287"/>
      <c r="AD31" s="89"/>
      <c r="AE31" s="89"/>
      <c r="AF31" s="288"/>
      <c r="AG31" s="368" t="s">
        <v>495</v>
      </c>
      <c r="AH31" s="368"/>
      <c r="AI31" s="89" t="s">
        <v>492</v>
      </c>
      <c r="AJ31" s="367" t="s">
        <v>478</v>
      </c>
      <c r="AK31" s="367"/>
      <c r="AL31" s="367"/>
      <c r="AM31" s="367"/>
      <c r="AN31" s="290" t="s">
        <v>485</v>
      </c>
      <c r="AO31" s="89"/>
      <c r="AP31" s="246"/>
      <c r="AQ31" s="89"/>
      <c r="AR31" s="89"/>
      <c r="AS31" s="89"/>
      <c r="AT31" s="331"/>
      <c r="AU31" s="331"/>
      <c r="AV31" s="89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</row>
    <row r="32" spans="1:167" s="91" customFormat="1" ht="12.75" customHeight="1">
      <c r="A32" s="142"/>
      <c r="B32" s="286"/>
      <c r="C32" s="367" t="s">
        <v>478</v>
      </c>
      <c r="D32" s="367"/>
      <c r="E32" s="367"/>
      <c r="F32" s="89"/>
      <c r="G32" s="89"/>
      <c r="H32" s="89"/>
      <c r="I32" s="367" t="s">
        <v>478</v>
      </c>
      <c r="J32" s="367"/>
      <c r="K32" s="367"/>
      <c r="L32" s="89"/>
      <c r="M32" s="89"/>
      <c r="N32" s="89"/>
      <c r="O32" s="123"/>
      <c r="P32" s="369" t="s">
        <v>478</v>
      </c>
      <c r="Q32" s="369"/>
      <c r="R32" s="369"/>
      <c r="S32" s="89"/>
      <c r="T32" s="369" t="s">
        <v>478</v>
      </c>
      <c r="U32" s="369"/>
      <c r="V32" s="369"/>
      <c r="W32" s="369"/>
      <c r="X32" s="367" t="s">
        <v>478</v>
      </c>
      <c r="Y32" s="367"/>
      <c r="Z32" s="89"/>
      <c r="AA32" s="89" t="s">
        <v>478</v>
      </c>
      <c r="AB32" s="89"/>
      <c r="AC32" s="89"/>
      <c r="AD32" s="89"/>
      <c r="AE32" s="89"/>
      <c r="AF32" s="89"/>
      <c r="AG32" s="89"/>
      <c r="AH32" s="89"/>
      <c r="AI32" s="89" t="s">
        <v>493</v>
      </c>
      <c r="AJ32" s="89"/>
      <c r="AK32" s="89"/>
      <c r="AL32" s="89"/>
      <c r="AM32" s="289" t="s">
        <v>523</v>
      </c>
      <c r="AN32" s="290" t="s">
        <v>484</v>
      </c>
      <c r="AO32" s="89"/>
      <c r="AP32" s="246"/>
      <c r="AQ32" s="89"/>
      <c r="AR32" s="89"/>
      <c r="AS32" s="89"/>
      <c r="AT32" s="331"/>
      <c r="AU32" s="331"/>
      <c r="AV32" s="89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pans="1:167" s="69" customFormat="1" ht="12.75">
      <c r="A33" s="9"/>
      <c r="B33" s="255"/>
      <c r="C33" s="20"/>
      <c r="D33" s="366"/>
      <c r="E33" s="36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0"/>
      <c r="U33" s="20"/>
      <c r="V33" s="20"/>
      <c r="W33" s="2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0"/>
      <c r="AQ33" s="32"/>
      <c r="AR33" s="32"/>
      <c r="AS33" s="32"/>
      <c r="AT33" s="10"/>
      <c r="AU33" s="10"/>
      <c r="AV33" s="32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</row>
    <row r="34" spans="1:167" s="69" customFormat="1" ht="15" customHeight="1">
      <c r="A34" s="20"/>
      <c r="B34" s="263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3"/>
      <c r="AQ34" s="334"/>
      <c r="AR34" s="334"/>
      <c r="AS34" s="32"/>
      <c r="AT34" s="10"/>
      <c r="AU34" s="10"/>
      <c r="AV34" s="32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</row>
    <row r="35" spans="1:167" s="230" customFormat="1" ht="15" customHeight="1">
      <c r="A35" s="335"/>
      <c r="B35" s="336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7"/>
      <c r="AR35" s="337"/>
      <c r="AS35" s="328"/>
      <c r="AT35" s="329"/>
      <c r="AU35" s="329"/>
      <c r="AV35" s="328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</row>
    <row r="36" spans="1:167" s="117" customFormat="1" ht="12">
      <c r="A36" s="248"/>
      <c r="B36" s="330"/>
      <c r="C36" s="169" t="s">
        <v>445</v>
      </c>
      <c r="D36" s="268"/>
      <c r="E36" s="268"/>
      <c r="F36" s="268"/>
      <c r="G36" s="268"/>
      <c r="H36" s="268"/>
      <c r="I36" s="169" t="s">
        <v>445</v>
      </c>
      <c r="J36" s="268"/>
      <c r="K36" s="268"/>
      <c r="L36" s="268"/>
      <c r="M36" s="268"/>
      <c r="N36" s="169" t="s">
        <v>445</v>
      </c>
      <c r="O36" s="268"/>
      <c r="P36" s="169"/>
      <c r="Q36" s="268"/>
      <c r="R36" s="268"/>
      <c r="S36" s="169" t="s">
        <v>445</v>
      </c>
      <c r="T36" s="268"/>
      <c r="U36" s="268"/>
      <c r="V36" s="268"/>
      <c r="W36" s="268"/>
      <c r="X36" s="169" t="s">
        <v>445</v>
      </c>
      <c r="Y36" s="268"/>
      <c r="Z36" s="268"/>
      <c r="AA36" s="169"/>
      <c r="AB36" s="268"/>
      <c r="AD36" s="169" t="s">
        <v>445</v>
      </c>
      <c r="AE36" s="268"/>
      <c r="AF36" s="248"/>
      <c r="AG36" s="268"/>
      <c r="AH36" s="268"/>
      <c r="AI36" s="169" t="s">
        <v>445</v>
      </c>
      <c r="AK36" s="268"/>
      <c r="AL36" s="169"/>
      <c r="AM36" s="169"/>
      <c r="AO36" s="169" t="s">
        <v>445</v>
      </c>
      <c r="AQ36" s="169"/>
      <c r="AR36" s="169"/>
      <c r="AS36" s="268"/>
      <c r="AT36" s="148"/>
      <c r="AU36" s="148"/>
      <c r="AV36" s="268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</row>
    <row r="37" spans="1:167" s="117" customFormat="1" ht="12">
      <c r="A37" s="248"/>
      <c r="B37" s="330"/>
      <c r="C37" s="148" t="s">
        <v>539</v>
      </c>
      <c r="D37" s="268"/>
      <c r="E37" s="268"/>
      <c r="F37" s="268"/>
      <c r="G37" s="268"/>
      <c r="H37" s="268"/>
      <c r="I37" s="148" t="s">
        <v>539</v>
      </c>
      <c r="J37" s="268"/>
      <c r="K37" s="268"/>
      <c r="L37" s="268"/>
      <c r="M37" s="268"/>
      <c r="N37" s="148" t="s">
        <v>539</v>
      </c>
      <c r="O37" s="268"/>
      <c r="P37" s="148"/>
      <c r="Q37" s="268"/>
      <c r="R37" s="268"/>
      <c r="S37" s="148" t="s">
        <v>539</v>
      </c>
      <c r="T37" s="268"/>
      <c r="U37" s="268"/>
      <c r="V37" s="268"/>
      <c r="W37" s="268"/>
      <c r="X37" s="148" t="s">
        <v>539</v>
      </c>
      <c r="Y37" s="268"/>
      <c r="Z37" s="268"/>
      <c r="AA37" s="148"/>
      <c r="AB37" s="268"/>
      <c r="AD37" s="148" t="s">
        <v>539</v>
      </c>
      <c r="AE37" s="268"/>
      <c r="AF37" s="248"/>
      <c r="AG37" s="268"/>
      <c r="AH37" s="268"/>
      <c r="AI37" s="148" t="s">
        <v>539</v>
      </c>
      <c r="AK37" s="268"/>
      <c r="AL37" s="148"/>
      <c r="AM37" s="148"/>
      <c r="AO37" s="148" t="s">
        <v>539</v>
      </c>
      <c r="AQ37" s="148"/>
      <c r="AR37" s="148"/>
      <c r="AS37" s="268"/>
      <c r="AT37" s="148"/>
      <c r="AU37" s="148"/>
      <c r="AV37" s="268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</row>
    <row r="38" spans="1:167" s="117" customFormat="1" ht="12">
      <c r="A38" s="248"/>
      <c r="B38" s="330"/>
      <c r="C38" s="148" t="s">
        <v>540</v>
      </c>
      <c r="D38" s="268"/>
      <c r="E38" s="268"/>
      <c r="F38" s="268"/>
      <c r="G38" s="268"/>
      <c r="H38" s="268"/>
      <c r="I38" s="148" t="s">
        <v>540</v>
      </c>
      <c r="J38" s="268"/>
      <c r="K38" s="268"/>
      <c r="L38" s="268"/>
      <c r="M38" s="268"/>
      <c r="N38" s="148" t="s">
        <v>540</v>
      </c>
      <c r="O38" s="268"/>
      <c r="P38" s="148"/>
      <c r="Q38" s="268"/>
      <c r="R38" s="268"/>
      <c r="S38" s="148" t="s">
        <v>540</v>
      </c>
      <c r="T38" s="268"/>
      <c r="U38" s="268"/>
      <c r="V38" s="268"/>
      <c r="W38" s="268"/>
      <c r="X38" s="148" t="s">
        <v>540</v>
      </c>
      <c r="Y38" s="268"/>
      <c r="Z38" s="268"/>
      <c r="AA38" s="148"/>
      <c r="AB38" s="268"/>
      <c r="AD38" s="148" t="s">
        <v>540</v>
      </c>
      <c r="AE38" s="268"/>
      <c r="AF38" s="248"/>
      <c r="AG38" s="268"/>
      <c r="AH38" s="268"/>
      <c r="AI38" s="148" t="s">
        <v>540</v>
      </c>
      <c r="AK38" s="268"/>
      <c r="AL38" s="148"/>
      <c r="AM38" s="148"/>
      <c r="AO38" s="148" t="s">
        <v>540</v>
      </c>
      <c r="AQ38" s="148"/>
      <c r="AR38" s="148"/>
      <c r="AS38" s="268"/>
      <c r="AT38" s="148"/>
      <c r="AU38" s="148"/>
      <c r="AV38" s="268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6"/>
      <c r="ET38" s="266"/>
      <c r="EU38" s="266"/>
      <c r="EV38" s="266"/>
      <c r="EW38" s="266"/>
      <c r="EX38" s="266"/>
      <c r="EY38" s="266"/>
      <c r="EZ38" s="266"/>
      <c r="FA38" s="266"/>
      <c r="FB38" s="266"/>
      <c r="FC38" s="266"/>
      <c r="FD38" s="266"/>
      <c r="FE38" s="266"/>
      <c r="FF38" s="266"/>
      <c r="FG38" s="266"/>
      <c r="FH38" s="266"/>
      <c r="FI38" s="266"/>
      <c r="FJ38" s="266"/>
      <c r="FK38" s="266"/>
    </row>
    <row r="39" spans="1:167" s="117" customFormat="1" ht="12">
      <c r="A39" s="248"/>
      <c r="B39" s="330"/>
      <c r="C39" s="148" t="s">
        <v>446</v>
      </c>
      <c r="D39" s="268"/>
      <c r="E39" s="268"/>
      <c r="F39" s="268"/>
      <c r="G39" s="268"/>
      <c r="H39" s="268"/>
      <c r="I39" s="148" t="s">
        <v>446</v>
      </c>
      <c r="J39" s="268"/>
      <c r="K39" s="268"/>
      <c r="L39" s="268"/>
      <c r="M39" s="268"/>
      <c r="N39" s="148" t="s">
        <v>446</v>
      </c>
      <c r="O39" s="268"/>
      <c r="P39" s="148"/>
      <c r="Q39" s="268"/>
      <c r="R39" s="268"/>
      <c r="S39" s="148" t="s">
        <v>446</v>
      </c>
      <c r="T39" s="268"/>
      <c r="U39" s="268"/>
      <c r="V39" s="268"/>
      <c r="W39" s="268"/>
      <c r="X39" s="148" t="s">
        <v>446</v>
      </c>
      <c r="Y39" s="268"/>
      <c r="Z39" s="268"/>
      <c r="AA39" s="148"/>
      <c r="AB39" s="268"/>
      <c r="AD39" s="148" t="s">
        <v>446</v>
      </c>
      <c r="AE39" s="268"/>
      <c r="AF39" s="248"/>
      <c r="AG39" s="268"/>
      <c r="AH39" s="268"/>
      <c r="AI39" s="148" t="s">
        <v>446</v>
      </c>
      <c r="AK39" s="268"/>
      <c r="AL39" s="148"/>
      <c r="AM39" s="148"/>
      <c r="AO39" s="148" t="s">
        <v>446</v>
      </c>
      <c r="AQ39" s="148"/>
      <c r="AR39" s="148"/>
      <c r="AS39" s="268"/>
      <c r="AT39" s="148"/>
      <c r="AU39" s="148"/>
      <c r="AV39" s="268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  <c r="DO39" s="266"/>
      <c r="DP39" s="266"/>
      <c r="DQ39" s="266"/>
      <c r="DR39" s="266"/>
      <c r="DS39" s="266"/>
      <c r="DT39" s="266"/>
      <c r="DU39" s="266"/>
      <c r="DV39" s="266"/>
      <c r="DW39" s="266"/>
      <c r="DX39" s="266"/>
      <c r="DY39" s="266"/>
      <c r="DZ39" s="266"/>
      <c r="EA39" s="266"/>
      <c r="EB39" s="266"/>
      <c r="EC39" s="266"/>
      <c r="ED39" s="266"/>
      <c r="EE39" s="266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266"/>
      <c r="EW39" s="266"/>
      <c r="EX39" s="266"/>
      <c r="EY39" s="266"/>
      <c r="EZ39" s="266"/>
      <c r="FA39" s="266"/>
      <c r="FB39" s="266"/>
      <c r="FC39" s="266"/>
      <c r="FD39" s="266"/>
      <c r="FE39" s="266"/>
      <c r="FF39" s="266"/>
      <c r="FG39" s="266"/>
      <c r="FH39" s="266"/>
      <c r="FI39" s="266"/>
      <c r="FJ39" s="266"/>
      <c r="FK39" s="266"/>
    </row>
    <row r="40" spans="1:167" s="117" customFormat="1" ht="12">
      <c r="A40" s="248"/>
      <c r="B40" s="330"/>
      <c r="C40" s="148" t="s">
        <v>447</v>
      </c>
      <c r="D40" s="268"/>
      <c r="E40" s="268"/>
      <c r="F40" s="268"/>
      <c r="G40" s="268"/>
      <c r="H40" s="268"/>
      <c r="I40" s="148" t="s">
        <v>447</v>
      </c>
      <c r="J40" s="268"/>
      <c r="K40" s="268"/>
      <c r="L40" s="268"/>
      <c r="M40" s="268"/>
      <c r="N40" s="148" t="s">
        <v>447</v>
      </c>
      <c r="O40" s="268"/>
      <c r="P40" s="148"/>
      <c r="Q40" s="268"/>
      <c r="R40" s="268"/>
      <c r="S40" s="148" t="s">
        <v>447</v>
      </c>
      <c r="T40" s="268"/>
      <c r="U40" s="268"/>
      <c r="V40" s="268"/>
      <c r="W40" s="268"/>
      <c r="X40" s="148" t="s">
        <v>447</v>
      </c>
      <c r="Y40" s="268"/>
      <c r="Z40" s="268"/>
      <c r="AA40" s="148"/>
      <c r="AB40" s="268"/>
      <c r="AD40" s="148" t="s">
        <v>447</v>
      </c>
      <c r="AE40" s="268"/>
      <c r="AF40" s="248"/>
      <c r="AG40" s="268"/>
      <c r="AH40" s="268"/>
      <c r="AI40" s="148" t="s">
        <v>447</v>
      </c>
      <c r="AK40" s="268"/>
      <c r="AL40" s="148"/>
      <c r="AM40" s="148"/>
      <c r="AO40" s="148" t="s">
        <v>447</v>
      </c>
      <c r="AQ40" s="148"/>
      <c r="AR40" s="148"/>
      <c r="AS40" s="268"/>
      <c r="AT40" s="148"/>
      <c r="AU40" s="148"/>
      <c r="AV40" s="268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266"/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6"/>
      <c r="FH40" s="266"/>
      <c r="FI40" s="266"/>
      <c r="FJ40" s="266"/>
      <c r="FK40" s="266"/>
    </row>
    <row r="41" spans="1:167" s="117" customFormat="1" ht="12">
      <c r="A41" s="248"/>
      <c r="B41" s="330"/>
      <c r="C41" s="148" t="s">
        <v>448</v>
      </c>
      <c r="D41" s="268"/>
      <c r="E41" s="268"/>
      <c r="F41" s="268"/>
      <c r="G41" s="268"/>
      <c r="H41" s="268"/>
      <c r="I41" s="148" t="s">
        <v>448</v>
      </c>
      <c r="J41" s="268"/>
      <c r="K41" s="268"/>
      <c r="L41" s="268"/>
      <c r="M41" s="268"/>
      <c r="N41" s="148" t="s">
        <v>448</v>
      </c>
      <c r="O41" s="268"/>
      <c r="P41" s="148"/>
      <c r="Q41" s="268"/>
      <c r="R41" s="268"/>
      <c r="S41" s="148" t="s">
        <v>448</v>
      </c>
      <c r="T41" s="268"/>
      <c r="U41" s="268"/>
      <c r="V41" s="268"/>
      <c r="W41" s="268"/>
      <c r="X41" s="148" t="s">
        <v>448</v>
      </c>
      <c r="Y41" s="268"/>
      <c r="Z41" s="268"/>
      <c r="AA41" s="148"/>
      <c r="AB41" s="268"/>
      <c r="AD41" s="148" t="s">
        <v>448</v>
      </c>
      <c r="AE41" s="268"/>
      <c r="AF41" s="248"/>
      <c r="AG41" s="268"/>
      <c r="AH41" s="268"/>
      <c r="AI41" s="148" t="s">
        <v>448</v>
      </c>
      <c r="AK41" s="268"/>
      <c r="AL41" s="148"/>
      <c r="AM41" s="148"/>
      <c r="AO41" s="148" t="s">
        <v>448</v>
      </c>
      <c r="AQ41" s="148"/>
      <c r="AR41" s="148"/>
      <c r="AS41" s="268"/>
      <c r="AT41" s="148"/>
      <c r="AU41" s="148"/>
      <c r="AV41" s="268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</row>
    <row r="42" spans="1:167" s="117" customFormat="1" ht="12">
      <c r="A42" s="248"/>
      <c r="B42" s="330"/>
      <c r="C42" s="148" t="s">
        <v>535</v>
      </c>
      <c r="D42" s="268"/>
      <c r="E42" s="268"/>
      <c r="F42" s="268"/>
      <c r="G42" s="268"/>
      <c r="H42" s="268"/>
      <c r="I42" s="148" t="s">
        <v>535</v>
      </c>
      <c r="J42" s="268"/>
      <c r="K42" s="268"/>
      <c r="L42" s="268"/>
      <c r="M42" s="268"/>
      <c r="N42" s="148" t="s">
        <v>535</v>
      </c>
      <c r="O42" s="268"/>
      <c r="P42" s="148"/>
      <c r="Q42" s="268"/>
      <c r="R42" s="268"/>
      <c r="S42" s="148" t="s">
        <v>535</v>
      </c>
      <c r="T42" s="268"/>
      <c r="U42" s="268"/>
      <c r="V42" s="268"/>
      <c r="W42" s="268"/>
      <c r="X42" s="148" t="s">
        <v>535</v>
      </c>
      <c r="Y42" s="268"/>
      <c r="Z42" s="268"/>
      <c r="AA42" s="148"/>
      <c r="AB42" s="268"/>
      <c r="AD42" s="148" t="s">
        <v>535</v>
      </c>
      <c r="AE42" s="268"/>
      <c r="AF42" s="248"/>
      <c r="AG42" s="268"/>
      <c r="AH42" s="268"/>
      <c r="AI42" s="148" t="s">
        <v>535</v>
      </c>
      <c r="AK42" s="268"/>
      <c r="AL42" s="148"/>
      <c r="AM42" s="148"/>
      <c r="AO42" s="148" t="s">
        <v>535</v>
      </c>
      <c r="AQ42" s="148"/>
      <c r="AR42" s="148"/>
      <c r="AS42" s="268"/>
      <c r="AT42" s="148"/>
      <c r="AU42" s="148"/>
      <c r="AV42" s="268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6"/>
      <c r="FH42" s="266"/>
      <c r="FI42" s="266"/>
      <c r="FJ42" s="266"/>
      <c r="FK42" s="266"/>
    </row>
    <row r="43" spans="1:167" s="117" customFormat="1" ht="12">
      <c r="A43" s="248"/>
      <c r="B43" s="330"/>
      <c r="C43" s="148" t="s">
        <v>536</v>
      </c>
      <c r="D43" s="268"/>
      <c r="E43" s="268"/>
      <c r="F43" s="268"/>
      <c r="G43" s="268"/>
      <c r="H43" s="268"/>
      <c r="I43" s="148" t="s">
        <v>536</v>
      </c>
      <c r="J43" s="268"/>
      <c r="K43" s="268"/>
      <c r="L43" s="268"/>
      <c r="M43" s="268"/>
      <c r="N43" s="148" t="s">
        <v>536</v>
      </c>
      <c r="O43" s="268"/>
      <c r="P43" s="148"/>
      <c r="Q43" s="268"/>
      <c r="R43" s="268"/>
      <c r="S43" s="148" t="s">
        <v>536</v>
      </c>
      <c r="T43" s="268"/>
      <c r="U43" s="268"/>
      <c r="V43" s="268"/>
      <c r="W43" s="268"/>
      <c r="X43" s="148" t="s">
        <v>536</v>
      </c>
      <c r="Y43" s="268"/>
      <c r="Z43" s="268"/>
      <c r="AA43" s="148"/>
      <c r="AB43" s="268"/>
      <c r="AD43" s="148" t="s">
        <v>536</v>
      </c>
      <c r="AE43" s="268"/>
      <c r="AF43" s="248"/>
      <c r="AG43" s="268"/>
      <c r="AH43" s="268"/>
      <c r="AI43" s="148" t="s">
        <v>536</v>
      </c>
      <c r="AK43" s="268"/>
      <c r="AL43" s="148"/>
      <c r="AM43" s="148"/>
      <c r="AO43" s="148" t="s">
        <v>536</v>
      </c>
      <c r="AQ43" s="148"/>
      <c r="AR43" s="148"/>
      <c r="AS43" s="268"/>
      <c r="AT43" s="148"/>
      <c r="AU43" s="148"/>
      <c r="AV43" s="268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</row>
    <row r="44" spans="1:167" s="117" customFormat="1" ht="12">
      <c r="A44" s="248"/>
      <c r="B44" s="330"/>
      <c r="C44" s="148" t="s">
        <v>449</v>
      </c>
      <c r="D44" s="268"/>
      <c r="E44" s="268"/>
      <c r="F44" s="268"/>
      <c r="G44" s="268"/>
      <c r="H44" s="268"/>
      <c r="I44" s="148" t="s">
        <v>449</v>
      </c>
      <c r="J44" s="268"/>
      <c r="K44" s="268"/>
      <c r="L44" s="268"/>
      <c r="M44" s="268"/>
      <c r="N44" s="148" t="s">
        <v>449</v>
      </c>
      <c r="O44" s="268"/>
      <c r="P44" s="148"/>
      <c r="Q44" s="268"/>
      <c r="R44" s="268"/>
      <c r="S44" s="148" t="s">
        <v>449</v>
      </c>
      <c r="T44" s="268"/>
      <c r="U44" s="268"/>
      <c r="V44" s="268"/>
      <c r="W44" s="268"/>
      <c r="X44" s="148" t="s">
        <v>449</v>
      </c>
      <c r="Y44" s="268"/>
      <c r="Z44" s="268"/>
      <c r="AA44" s="148"/>
      <c r="AB44" s="268"/>
      <c r="AD44" s="148" t="s">
        <v>449</v>
      </c>
      <c r="AE44" s="268"/>
      <c r="AF44" s="248"/>
      <c r="AG44" s="268"/>
      <c r="AH44" s="268"/>
      <c r="AI44" s="148" t="s">
        <v>449</v>
      </c>
      <c r="AK44" s="268"/>
      <c r="AL44" s="148"/>
      <c r="AM44" s="148"/>
      <c r="AO44" s="148" t="s">
        <v>449</v>
      </c>
      <c r="AQ44" s="148"/>
      <c r="AR44" s="148"/>
      <c r="AS44" s="268"/>
      <c r="AT44" s="148"/>
      <c r="AU44" s="148"/>
      <c r="AV44" s="268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6"/>
      <c r="FH44" s="266"/>
      <c r="FI44" s="266"/>
      <c r="FJ44" s="266"/>
      <c r="FK44" s="266"/>
    </row>
    <row r="45" spans="1:167" s="117" customFormat="1" ht="12">
      <c r="A45" s="248"/>
      <c r="B45" s="330"/>
      <c r="C45" s="148" t="s">
        <v>450</v>
      </c>
      <c r="D45" s="268"/>
      <c r="E45" s="268"/>
      <c r="F45" s="268"/>
      <c r="G45" s="268"/>
      <c r="H45" s="268"/>
      <c r="I45" s="148" t="s">
        <v>450</v>
      </c>
      <c r="J45" s="268"/>
      <c r="K45" s="268"/>
      <c r="L45" s="268"/>
      <c r="M45" s="268"/>
      <c r="N45" s="148" t="s">
        <v>450</v>
      </c>
      <c r="O45" s="268"/>
      <c r="P45" s="148"/>
      <c r="Q45" s="268"/>
      <c r="R45" s="268"/>
      <c r="S45" s="148" t="s">
        <v>450</v>
      </c>
      <c r="T45" s="268"/>
      <c r="U45" s="268"/>
      <c r="V45" s="268"/>
      <c r="W45" s="268"/>
      <c r="X45" s="148" t="s">
        <v>450</v>
      </c>
      <c r="Y45" s="268"/>
      <c r="Z45" s="268"/>
      <c r="AA45" s="148"/>
      <c r="AB45" s="268"/>
      <c r="AD45" s="148" t="s">
        <v>450</v>
      </c>
      <c r="AE45" s="268"/>
      <c r="AF45" s="248"/>
      <c r="AG45" s="268"/>
      <c r="AH45" s="268"/>
      <c r="AI45" s="148" t="s">
        <v>450</v>
      </c>
      <c r="AK45" s="268"/>
      <c r="AL45" s="148"/>
      <c r="AM45" s="148"/>
      <c r="AO45" s="148" t="s">
        <v>450</v>
      </c>
      <c r="AQ45" s="148"/>
      <c r="AR45" s="148"/>
      <c r="AS45" s="268"/>
      <c r="AT45" s="148"/>
      <c r="AU45" s="148"/>
      <c r="AV45" s="268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6"/>
    </row>
    <row r="46" spans="1:167" s="69" customFormat="1" ht="12.75">
      <c r="A46" s="20"/>
      <c r="B46" s="263"/>
      <c r="C46" s="10"/>
      <c r="D46" s="32"/>
      <c r="E46" s="32"/>
      <c r="F46" s="32"/>
      <c r="G46" s="32"/>
      <c r="H46" s="32"/>
      <c r="I46" s="10"/>
      <c r="J46" s="32"/>
      <c r="K46" s="32"/>
      <c r="L46" s="32"/>
      <c r="M46" s="32"/>
      <c r="N46" s="32"/>
      <c r="O46" s="32"/>
      <c r="P46" s="10"/>
      <c r="Q46" s="32"/>
      <c r="R46" s="32"/>
      <c r="S46" s="10"/>
      <c r="T46" s="32"/>
      <c r="U46" s="32"/>
      <c r="V46" s="32"/>
      <c r="W46" s="32"/>
      <c r="X46" s="32"/>
      <c r="Y46" s="32"/>
      <c r="Z46" s="32"/>
      <c r="AA46" s="10"/>
      <c r="AB46" s="32"/>
      <c r="AC46" s="32"/>
      <c r="AD46" s="32"/>
      <c r="AE46" s="32"/>
      <c r="AF46" s="32"/>
      <c r="AG46" s="32"/>
      <c r="AH46" s="32"/>
      <c r="AI46" s="32"/>
      <c r="AJ46" s="10"/>
      <c r="AK46" s="32"/>
      <c r="AL46" s="10"/>
      <c r="AM46" s="10"/>
      <c r="AN46" s="10"/>
      <c r="AO46" s="32"/>
      <c r="AP46" s="20"/>
      <c r="AQ46" s="10"/>
      <c r="AR46" s="10"/>
      <c r="AS46" s="32"/>
      <c r="AT46" s="10"/>
      <c r="AU46" s="10"/>
      <c r="AV46" s="32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</row>
    <row r="47" spans="1:167" s="69" customFormat="1" ht="12.75">
      <c r="A47" s="20"/>
      <c r="B47" s="263"/>
      <c r="C47" s="1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10"/>
      <c r="AM47" s="10"/>
      <c r="AN47" s="10"/>
      <c r="AO47" s="32"/>
      <c r="AP47" s="20"/>
      <c r="AQ47" s="10"/>
      <c r="AR47" s="10"/>
      <c r="AS47" s="32"/>
      <c r="AT47" s="10"/>
      <c r="AU47" s="10"/>
      <c r="AV47" s="32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</row>
    <row r="48" spans="1:167" s="69" customFormat="1" ht="12.75">
      <c r="A48" s="20"/>
      <c r="B48" s="263"/>
      <c r="C48" s="10"/>
      <c r="D48" s="33"/>
      <c r="E48" s="33"/>
      <c r="F48" s="33"/>
      <c r="G48" s="33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2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2"/>
      <c r="AG48" s="32"/>
      <c r="AH48" s="32"/>
      <c r="AI48" s="33"/>
      <c r="AJ48" s="33"/>
      <c r="AK48" s="33"/>
      <c r="AL48" s="34"/>
      <c r="AM48" s="34"/>
      <c r="AN48" s="34"/>
      <c r="AO48" s="32"/>
      <c r="AQ48" s="34"/>
      <c r="AR48" s="34"/>
      <c r="AS48" s="33"/>
      <c r="AT48" s="34"/>
      <c r="AU48" s="34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</row>
    <row r="49" spans="1:167" s="69" customFormat="1" ht="12.75">
      <c r="A49" s="20"/>
      <c r="B49" s="263"/>
      <c r="C49" s="10"/>
      <c r="D49" s="33"/>
      <c r="E49" s="33"/>
      <c r="F49" s="33"/>
      <c r="G49" s="33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2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2"/>
      <c r="AG49" s="32"/>
      <c r="AH49" s="32"/>
      <c r="AI49" s="33"/>
      <c r="AJ49" s="33"/>
      <c r="AK49" s="33"/>
      <c r="AL49" s="34"/>
      <c r="AM49" s="34"/>
      <c r="AN49" s="34"/>
      <c r="AO49" s="32"/>
      <c r="AQ49" s="34"/>
      <c r="AR49" s="34"/>
      <c r="AS49" s="33"/>
      <c r="AT49" s="34"/>
      <c r="AU49" s="34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</row>
    <row r="50" spans="1:167" s="69" customFormat="1" ht="12.75">
      <c r="A50" s="20"/>
      <c r="B50" s="258"/>
      <c r="C50" s="34"/>
      <c r="D50" s="33"/>
      <c r="E50" s="33"/>
      <c r="F50" s="33"/>
      <c r="G50" s="33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2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2"/>
      <c r="AG50" s="32"/>
      <c r="AH50" s="32"/>
      <c r="AI50" s="33"/>
      <c r="AJ50" s="33"/>
      <c r="AK50" s="33"/>
      <c r="AL50" s="34"/>
      <c r="AM50" s="34"/>
      <c r="AN50" s="34"/>
      <c r="AO50" s="32"/>
      <c r="AQ50" s="34"/>
      <c r="AR50" s="34"/>
      <c r="AS50" s="33"/>
      <c r="AT50" s="34"/>
      <c r="AU50" s="34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</row>
    <row r="51" spans="1:167" s="69" customFormat="1" ht="12.75">
      <c r="A51" s="20"/>
      <c r="B51" s="258"/>
      <c r="C51" s="34"/>
      <c r="D51" s="33"/>
      <c r="E51" s="33"/>
      <c r="F51" s="33"/>
      <c r="G51" s="33"/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2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2"/>
      <c r="AG51" s="32"/>
      <c r="AH51" s="32"/>
      <c r="AI51" s="33"/>
      <c r="AJ51" s="33"/>
      <c r="AK51" s="33"/>
      <c r="AL51" s="34"/>
      <c r="AM51" s="34"/>
      <c r="AN51" s="34"/>
      <c r="AO51" s="32"/>
      <c r="AQ51" s="34"/>
      <c r="AR51" s="34"/>
      <c r="AS51" s="33"/>
      <c r="AT51" s="34"/>
      <c r="AU51" s="34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</row>
    <row r="52" spans="1:167" s="69" customFormat="1" ht="12.75">
      <c r="A52" s="20"/>
      <c r="B52" s="258"/>
      <c r="C52" s="34"/>
      <c r="D52" s="33"/>
      <c r="E52" s="33"/>
      <c r="F52" s="33"/>
      <c r="G52" s="33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2"/>
      <c r="AG52" s="32"/>
      <c r="AH52" s="32"/>
      <c r="AI52" s="33"/>
      <c r="AJ52" s="33"/>
      <c r="AK52" s="33"/>
      <c r="AL52" s="34"/>
      <c r="AM52" s="34"/>
      <c r="AN52" s="34"/>
      <c r="AO52" s="32"/>
      <c r="AQ52" s="34"/>
      <c r="AR52" s="34"/>
      <c r="AS52" s="33"/>
      <c r="AT52" s="34"/>
      <c r="AU52" s="34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</row>
    <row r="53" spans="1:167" s="69" customFormat="1" ht="12.75">
      <c r="A53" s="20"/>
      <c r="B53" s="258"/>
      <c r="C53" s="34"/>
      <c r="D53" s="33"/>
      <c r="E53" s="33"/>
      <c r="F53" s="33"/>
      <c r="G53" s="33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2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2"/>
      <c r="AG53" s="32"/>
      <c r="AH53" s="32"/>
      <c r="AI53" s="33"/>
      <c r="AJ53" s="33"/>
      <c r="AK53" s="33"/>
      <c r="AL53" s="34"/>
      <c r="AM53" s="34"/>
      <c r="AN53" s="34"/>
      <c r="AO53" s="32"/>
      <c r="AQ53" s="34"/>
      <c r="AR53" s="34"/>
      <c r="AS53" s="33"/>
      <c r="AT53" s="34"/>
      <c r="AU53" s="34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</row>
    <row r="54" spans="1:167" s="69" customFormat="1" ht="12.75">
      <c r="A54" s="20"/>
      <c r="B54" s="258"/>
      <c r="C54" s="34"/>
      <c r="D54" s="33"/>
      <c r="E54" s="33"/>
      <c r="F54" s="33"/>
      <c r="G54" s="33"/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2"/>
      <c r="AG54" s="32"/>
      <c r="AH54" s="32"/>
      <c r="AI54" s="33"/>
      <c r="AJ54" s="33"/>
      <c r="AK54" s="33"/>
      <c r="AL54" s="34"/>
      <c r="AM54" s="34"/>
      <c r="AN54" s="34"/>
      <c r="AO54" s="32"/>
      <c r="AQ54" s="34"/>
      <c r="AR54" s="34"/>
      <c r="AS54" s="33"/>
      <c r="AT54" s="34"/>
      <c r="AU54" s="34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</row>
    <row r="55" spans="1:167" s="69" customFormat="1" ht="12.75">
      <c r="A55" s="20"/>
      <c r="B55" s="258"/>
      <c r="C55" s="34"/>
      <c r="D55" s="33"/>
      <c r="E55" s="33"/>
      <c r="F55" s="33"/>
      <c r="G55" s="33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2"/>
      <c r="AG55" s="32"/>
      <c r="AH55" s="32"/>
      <c r="AI55" s="33"/>
      <c r="AJ55" s="33"/>
      <c r="AK55" s="33"/>
      <c r="AL55" s="34"/>
      <c r="AM55" s="34"/>
      <c r="AN55" s="34"/>
      <c r="AO55" s="32"/>
      <c r="AQ55" s="34"/>
      <c r="AR55" s="34"/>
      <c r="AS55" s="33"/>
      <c r="AT55" s="34"/>
      <c r="AU55" s="34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</row>
    <row r="56" spans="1:167" s="69" customFormat="1" ht="12.75">
      <c r="A56" s="20"/>
      <c r="B56" s="258"/>
      <c r="C56" s="34"/>
      <c r="D56" s="33"/>
      <c r="E56" s="33"/>
      <c r="F56" s="33"/>
      <c r="G56" s="33"/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2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2"/>
      <c r="AG56" s="32"/>
      <c r="AH56" s="32"/>
      <c r="AI56" s="33"/>
      <c r="AJ56" s="33"/>
      <c r="AK56" s="33"/>
      <c r="AL56" s="34"/>
      <c r="AM56" s="34"/>
      <c r="AN56" s="34"/>
      <c r="AO56" s="32"/>
      <c r="AQ56" s="34"/>
      <c r="AR56" s="34"/>
      <c r="AS56" s="33"/>
      <c r="AT56" s="34"/>
      <c r="AU56" s="34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</row>
    <row r="57" spans="1:167" s="69" customFormat="1" ht="12.75">
      <c r="A57" s="20"/>
      <c r="B57" s="258"/>
      <c r="C57" s="34"/>
      <c r="D57" s="33"/>
      <c r="E57" s="33"/>
      <c r="F57" s="33"/>
      <c r="G57" s="33"/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2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2"/>
      <c r="AG57" s="32"/>
      <c r="AH57" s="32"/>
      <c r="AI57" s="33"/>
      <c r="AJ57" s="33"/>
      <c r="AK57" s="33"/>
      <c r="AL57" s="34"/>
      <c r="AM57" s="34"/>
      <c r="AN57" s="34"/>
      <c r="AO57" s="32"/>
      <c r="AQ57" s="34"/>
      <c r="AR57" s="34"/>
      <c r="AS57" s="33"/>
      <c r="AT57" s="34"/>
      <c r="AU57" s="34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</row>
    <row r="58" spans="1:167" s="69" customFormat="1" ht="12.75">
      <c r="A58" s="9"/>
      <c r="B58" s="260"/>
      <c r="C58" s="34"/>
      <c r="D58" s="33"/>
      <c r="E58" s="33"/>
      <c r="F58" s="33"/>
      <c r="G58" s="33"/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2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2"/>
      <c r="AG58" s="32"/>
      <c r="AH58" s="32"/>
      <c r="AI58" s="33"/>
      <c r="AJ58" s="33"/>
      <c r="AK58" s="33"/>
      <c r="AL58" s="34"/>
      <c r="AM58" s="34"/>
      <c r="AN58" s="34"/>
      <c r="AO58" s="32"/>
      <c r="AQ58" s="34"/>
      <c r="AR58" s="34"/>
      <c r="AS58" s="33"/>
      <c r="AT58" s="34"/>
      <c r="AU58" s="34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</row>
    <row r="59" spans="1:167" s="69" customFormat="1" ht="12.75">
      <c r="A59" s="90"/>
      <c r="B59" s="264"/>
      <c r="C59" s="33"/>
      <c r="D59" s="33"/>
      <c r="E59" s="33"/>
      <c r="F59" s="33"/>
      <c r="G59" s="33"/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2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2"/>
      <c r="AG59" s="32"/>
      <c r="AH59" s="32"/>
      <c r="AI59" s="33"/>
      <c r="AJ59" s="33"/>
      <c r="AK59" s="33"/>
      <c r="AL59" s="33"/>
      <c r="AM59" s="33"/>
      <c r="AN59" s="33"/>
      <c r="AO59" s="33"/>
      <c r="AQ59" s="33"/>
      <c r="AR59" s="33"/>
      <c r="AS59" s="33"/>
      <c r="AT59" s="34"/>
      <c r="AU59" s="34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</row>
    <row r="60" spans="1:49" ht="12.75">
      <c r="A60" s="9"/>
      <c r="B60" s="265"/>
      <c r="C60" s="27"/>
      <c r="D60" s="27"/>
      <c r="E60" s="27"/>
      <c r="F60" s="27"/>
      <c r="G60" s="27"/>
      <c r="H60" s="28"/>
      <c r="I60" s="27"/>
      <c r="J60" s="27"/>
      <c r="K60" s="27"/>
      <c r="L60" s="27"/>
      <c r="M60" s="27"/>
      <c r="N60" s="27"/>
      <c r="O60" s="27"/>
      <c r="S60" s="77"/>
      <c r="X60" s="34"/>
      <c r="Y60" s="34"/>
      <c r="AF60" s="10"/>
      <c r="AG60" s="10"/>
      <c r="AH60" s="10"/>
      <c r="AO60" s="34"/>
      <c r="AT60" s="5"/>
      <c r="AU60" s="5"/>
      <c r="AV60" s="34"/>
      <c r="AW60" s="34"/>
    </row>
    <row r="61" spans="1:49" ht="12.75">
      <c r="A61" s="14" t="s">
        <v>315</v>
      </c>
      <c r="B61" s="255"/>
      <c r="C61" s="34"/>
      <c r="D61" s="34"/>
      <c r="E61" s="34"/>
      <c r="F61" s="34"/>
      <c r="G61" s="34"/>
      <c r="H61" s="10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10"/>
      <c r="AG61" s="10"/>
      <c r="AH61" s="10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5"/>
      <c r="AU61" s="5"/>
      <c r="AV61" s="34"/>
      <c r="AW61" s="34"/>
    </row>
    <row r="62" spans="1:49" ht="12.75">
      <c r="A62" s="14" t="s">
        <v>209</v>
      </c>
      <c r="B62" s="255"/>
      <c r="S62" s="34"/>
      <c r="X62" s="34"/>
      <c r="Y62" s="34"/>
      <c r="AD62" s="34"/>
      <c r="AE62" s="34"/>
      <c r="AF62" s="10"/>
      <c r="AG62" s="10"/>
      <c r="AH62" s="10"/>
      <c r="AO62" s="34"/>
      <c r="AP62" s="34"/>
      <c r="AS62" s="34"/>
      <c r="AT62" s="5"/>
      <c r="AU62" s="5"/>
      <c r="AV62" s="34"/>
      <c r="AW62" s="34"/>
    </row>
    <row r="63" spans="1:49" ht="12.75">
      <c r="A63" s="10" t="s">
        <v>408</v>
      </c>
      <c r="B63" s="255"/>
      <c r="C63" s="70">
        <f>+'5.1. Séreignard.'!B33-'5.1. Séreignard.'!B41</f>
        <v>284805</v>
      </c>
      <c r="D63" s="70">
        <f>+'5.1. Séreignard.'!C33-'5.1. Séreignard.'!C41</f>
        <v>60944</v>
      </c>
      <c r="E63" s="70">
        <f>+'5.1. Séreignard.'!D33-'5.1. Séreignard.'!D41</f>
        <v>23320.5</v>
      </c>
      <c r="F63" s="70">
        <f>+'5.1. Séreignard.'!E33-'5.1. Séreignard.'!E41</f>
        <v>374872</v>
      </c>
      <c r="G63" s="70">
        <f>+'5.1. Séreignard.'!F33-'5.1. Séreignard.'!F41</f>
        <v>45816.896</v>
      </c>
      <c r="H63" s="70">
        <f>+'5.1. Séreignard.'!G33-'5.1. Séreignard.'!G41</f>
        <v>91044.87999999999</v>
      </c>
      <c r="I63" s="70">
        <f>+'5.1. Séreignard.'!H33-'5.1. Séreignard.'!H41</f>
        <v>15459</v>
      </c>
      <c r="J63" s="70">
        <f>+'5.1. Séreignard.'!I33-'5.1. Séreignard.'!I41</f>
        <v>1065</v>
      </c>
      <c r="K63" s="70">
        <f>+'5.1. Séreignard.'!J33-'5.1. Séreignard.'!J41</f>
        <v>1878</v>
      </c>
      <c r="L63" s="70">
        <f>+'5.1. Séreignard.'!K33-'5.1. Séreignard.'!K41</f>
        <v>19829</v>
      </c>
      <c r="M63" s="70">
        <f>+'5.1. Séreignard.'!L33-'5.1. Séreignard.'!L41</f>
        <v>127526</v>
      </c>
      <c r="N63" s="70">
        <f>+'5.1. Séreignard.'!M33-'5.1. Séreignard.'!M41</f>
        <v>75525</v>
      </c>
      <c r="O63" s="70">
        <f>+'5.1. Séreignard.'!N33-'5.1. Séreignard.'!N41</f>
        <v>220650</v>
      </c>
      <c r="P63" s="70">
        <f>+'5.1. Séreignard.'!O33-'5.1. Séreignard.'!O41</f>
        <v>2913993</v>
      </c>
      <c r="Q63" s="70">
        <f>+'5.1. Séreignard.'!P33-'5.1. Séreignard.'!P41</f>
        <v>187555.6</v>
      </c>
      <c r="R63" s="70">
        <f>+'5.1. Séreignard.'!Q33-'5.1. Séreignard.'!Q41</f>
        <v>335261</v>
      </c>
      <c r="S63" s="70">
        <f>+'5.1. Séreignard.'!R33-'5.1. Séreignard.'!R41</f>
        <v>18378</v>
      </c>
      <c r="T63" s="70">
        <f>+'5.1. Séreignard.'!S33-'5.1. Séreignard.'!S41</f>
        <v>387506.94469111995</v>
      </c>
      <c r="U63" s="70">
        <f>+'5.1. Séreignard.'!T33-'5.1. Séreignard.'!T41</f>
        <v>2040282.91429814</v>
      </c>
      <c r="V63" s="70">
        <f>+'5.1. Séreignard.'!U33-'5.1. Séreignard.'!U41</f>
        <v>152314.25291090002</v>
      </c>
      <c r="W63" s="70">
        <f>+'5.1. Séreignard.'!V33-'5.1. Séreignard.'!V41</f>
        <v>77363.423</v>
      </c>
      <c r="X63" s="70">
        <f>+'5.1. Séreignard.'!W33-'5.1. Séreignard.'!W41</f>
        <v>12653</v>
      </c>
      <c r="Y63" s="70">
        <f>+'5.1. Séreignard.'!X33-'5.1. Séreignard.'!X41</f>
        <v>34879</v>
      </c>
      <c r="Z63" s="70">
        <f>+'5.1. Séreignard.'!Y33-'5.1. Séreignard.'!Y41</f>
        <v>216350</v>
      </c>
      <c r="AA63" s="70">
        <f>+'5.1. Séreignard.'!Z33-'5.1. Séreignard.'!Z41</f>
        <v>4237</v>
      </c>
      <c r="AB63" s="70">
        <f>+'5.1. Séreignard.'!AA33-'5.1. Séreignard.'!AA41</f>
        <v>35312</v>
      </c>
      <c r="AC63" s="70">
        <f>+'5.1. Séreignard.'!AB33-'5.1. Séreignard.'!AB41</f>
        <v>74603</v>
      </c>
      <c r="AD63" s="70">
        <f>+'5.1. Séreignard.'!AC33-'5.1. Séreignard.'!AC41</f>
        <v>2659</v>
      </c>
      <c r="AE63" s="70">
        <f>+'5.1. Séreignard.'!AD33-'5.1. Séreignard.'!AD41</f>
        <v>8096</v>
      </c>
      <c r="AF63" s="70">
        <f>+'5.1. Séreignard.'!AE33-'5.1. Séreignard.'!AE41</f>
        <v>36278</v>
      </c>
      <c r="AG63" s="70">
        <f>+'5.1. Séreignard.'!AF33-'5.1. Séreignard.'!AF41</f>
        <v>5637</v>
      </c>
      <c r="AH63" s="70">
        <f>+'5.1. Séreignard.'!AG33-'5.1. Séreignard.'!AG41</f>
        <v>2748.515</v>
      </c>
      <c r="AI63" s="70">
        <f>+'5.1. Séreignard.'!AH33-'5.1. Séreignard.'!AH41</f>
        <v>4894</v>
      </c>
      <c r="AJ63" s="70">
        <f>+'5.1. Séreignard.'!AI33-'5.1. Séreignard.'!AI41</f>
        <v>332605.278</v>
      </c>
      <c r="AK63" s="70">
        <f>+'5.1. Séreignard.'!AJ33-'5.1. Séreignard.'!AJ41</f>
        <v>447060.60400000005</v>
      </c>
      <c r="AL63" s="70">
        <f>+'5.1. Séreignard.'!AK33-'5.1. Séreignard.'!AK41</f>
        <v>114081.01299999999</v>
      </c>
      <c r="AM63" s="70">
        <f>+'5.1. Séreignard.'!AL33-'5.1. Séreignard.'!AL41</f>
        <v>5675.296</v>
      </c>
      <c r="AN63" s="70">
        <f>+'5.1. Séreignard.'!AM33-'5.1. Séreignard.'!AM41</f>
        <v>789</v>
      </c>
      <c r="AO63" s="70">
        <f>+'5.1. Séreignard.'!AN33-'5.1. Séreignard.'!AN41</f>
        <v>186996</v>
      </c>
      <c r="AP63" s="70"/>
      <c r="AQ63" s="70">
        <f>+'5.1. Séreignard.'!AP33-'5.1. Séreignard.'!AP41</f>
        <v>8980944.116900159</v>
      </c>
      <c r="AR63" s="70"/>
      <c r="AS63" s="50"/>
      <c r="AT63" s="7"/>
      <c r="AU63" s="7"/>
      <c r="AV63" s="34"/>
      <c r="AW63" s="34"/>
    </row>
    <row r="64" spans="1:49" ht="12.75">
      <c r="A64" s="10" t="s">
        <v>409</v>
      </c>
      <c r="B64" s="255"/>
      <c r="C64" s="47">
        <f>+'5.1. Séreignard.'!B46-'5.1. Séreignard.'!B48+'5.1. Séreignard.'!B50</f>
        <v>2785</v>
      </c>
      <c r="D64" s="47">
        <f>+'5.1. Séreignard.'!C46-'5.1. Séreignard.'!C48+'5.1. Séreignard.'!C50</f>
        <v>672.4</v>
      </c>
      <c r="E64" s="47">
        <f>+'5.1. Séreignard.'!D46-'5.1. Séreignard.'!D48+'5.1. Séreignard.'!D50</f>
        <v>351.5</v>
      </c>
      <c r="F64" s="47">
        <f>+'5.1. Séreignard.'!E46-'5.1. Séreignard.'!E48+'5.1. Séreignard.'!E50</f>
        <v>1016</v>
      </c>
      <c r="G64" s="47">
        <f>+'5.1. Séreignard.'!F46-'5.1. Séreignard.'!F48+'5.1. Séreignard.'!F50</f>
        <v>2399.85</v>
      </c>
      <c r="H64" s="47">
        <f>+'5.1. Séreignard.'!G46-'5.1. Séreignard.'!G48+'5.1. Séreignard.'!G50</f>
        <v>5350</v>
      </c>
      <c r="I64" s="47">
        <f>+'5.1. Séreignard.'!H46-'5.1. Séreignard.'!H48+'5.1. Séreignard.'!H50</f>
        <v>0</v>
      </c>
      <c r="J64" s="47">
        <f>+'5.1. Séreignard.'!I46-'5.1. Séreignard.'!I48+'5.1. Séreignard.'!I50</f>
        <v>0</v>
      </c>
      <c r="K64" s="47">
        <f>+'5.1. Séreignard.'!J46-'5.1. Séreignard.'!J48+'5.1. Séreignard.'!J50</f>
        <v>0</v>
      </c>
      <c r="L64" s="47">
        <f>+'5.1. Séreignard.'!K46-'5.1. Séreignard.'!K48+'5.1. Séreignard.'!K50</f>
        <v>248</v>
      </c>
      <c r="M64" s="47">
        <f>+'5.1. Séreignard.'!L46-'5.1. Séreignard.'!L48+'5.1. Séreignard.'!L50</f>
        <v>1586</v>
      </c>
      <c r="N64" s="47">
        <f>+'5.1. Séreignard.'!M46-'5.1. Séreignard.'!M48+'5.1. Séreignard.'!M50</f>
        <v>838</v>
      </c>
      <c r="O64" s="47">
        <f>+'5.1. Séreignard.'!N46-'5.1. Séreignard.'!N48+'5.1. Séreignard.'!N50</f>
        <v>2449</v>
      </c>
      <c r="P64" s="47">
        <f>+'5.1. Séreignard.'!O46-'5.1. Séreignard.'!O48+'5.1. Séreignard.'!O50</f>
        <v>45157</v>
      </c>
      <c r="Q64" s="47">
        <f>+'5.1. Séreignard.'!P46-'5.1. Séreignard.'!P48+'5.1. Séreignard.'!P50</f>
        <v>2736</v>
      </c>
      <c r="R64" s="47">
        <f>+'5.1. Séreignard.'!Q46-'5.1. Séreignard.'!Q48+'5.1. Séreignard.'!Q50</f>
        <v>0</v>
      </c>
      <c r="S64" s="47">
        <f>+'5.1. Séreignard.'!R46-'5.1. Séreignard.'!R48+'5.1. Séreignard.'!R50</f>
        <v>307</v>
      </c>
      <c r="T64" s="47">
        <f>+'5.1. Séreignard.'!S46-'5.1. Séreignard.'!S48+'5.1. Séreignard.'!S50</f>
        <v>6547.501</v>
      </c>
      <c r="U64" s="47">
        <f>+'5.1. Séreignard.'!T46-'5.1. Séreignard.'!T48+'5.1. Séreignard.'!T50</f>
        <v>25172.7175</v>
      </c>
      <c r="V64" s="47">
        <f>+'5.1. Séreignard.'!U46-'5.1. Séreignard.'!U48+'5.1. Séreignard.'!U50</f>
        <v>1995.174</v>
      </c>
      <c r="W64" s="47">
        <f>+'5.1. Séreignard.'!V46-'5.1. Séreignard.'!V48+'5.1. Séreignard.'!V50</f>
        <v>1107.666</v>
      </c>
      <c r="X64" s="47">
        <f>+'5.1. Séreignard.'!W46-'5.1. Séreignard.'!W48+'5.1. Séreignard.'!W50</f>
        <v>170</v>
      </c>
      <c r="Y64" s="47">
        <f>+'5.1. Séreignard.'!X46-'5.1. Séreignard.'!X48+'5.1. Séreignard.'!X50</f>
        <v>469</v>
      </c>
      <c r="Z64" s="47">
        <f>+'5.1. Séreignard.'!Y46-'5.1. Séreignard.'!Y48+'5.1. Séreignard.'!Y50</f>
        <v>6538</v>
      </c>
      <c r="AA64" s="47">
        <f>+'5.1. Séreignard.'!Z46-'5.1. Séreignard.'!Z48+'5.1. Séreignard.'!Z50</f>
        <v>0</v>
      </c>
      <c r="AB64" s="47">
        <f>+'5.1. Séreignard.'!AA46-'5.1. Séreignard.'!AA48+'5.1. Séreignard.'!AA50</f>
        <v>338</v>
      </c>
      <c r="AC64" s="47">
        <f>+'5.1. Séreignard.'!AB46-'5.1. Séreignard.'!AB48+'5.1. Séreignard.'!AB50</f>
        <v>1660</v>
      </c>
      <c r="AD64" s="47">
        <f>+'5.1. Séreignard.'!AC46-'5.1. Séreignard.'!AC48+'5.1. Séreignard.'!AC50</f>
        <v>38</v>
      </c>
      <c r="AE64" s="47">
        <f>+'5.1. Séreignard.'!AD46-'5.1. Séreignard.'!AD48+'5.1. Séreignard.'!AD50</f>
        <v>104</v>
      </c>
      <c r="AF64" s="47">
        <f>+'5.1. Séreignard.'!AE46-'5.1. Séreignard.'!AE48+'5.1. Séreignard.'!AE50</f>
        <v>0</v>
      </c>
      <c r="AG64" s="47">
        <f>+'5.1. Séreignard.'!AF46-'5.1. Séreignard.'!AF48+'5.1. Séreignard.'!AF50</f>
        <v>0</v>
      </c>
      <c r="AH64" s="47">
        <f>+'5.1. Séreignard.'!AG46-'5.1. Séreignard.'!AG48+'5.1. Séreignard.'!AG50</f>
        <v>0</v>
      </c>
      <c r="AI64" s="47">
        <f>+'5.1. Séreignard.'!AH46-'5.1. Séreignard.'!AH48+'5.1. Séreignard.'!AH50</f>
        <v>250</v>
      </c>
      <c r="AJ64" s="47">
        <f>+'5.1. Séreignard.'!AI46-'5.1. Séreignard.'!AI48+'5.1. Séreignard.'!AI50</f>
        <v>13960.359</v>
      </c>
      <c r="AK64" s="47">
        <f>+'5.1. Séreignard.'!AJ46-'5.1. Séreignard.'!AJ48+'5.1. Séreignard.'!AJ50</f>
        <v>19022.996</v>
      </c>
      <c r="AL64" s="47">
        <f>+'5.1. Séreignard.'!AK46-'5.1. Séreignard.'!AK48+'5.1. Séreignard.'!AK50</f>
        <v>4480.026</v>
      </c>
      <c r="AM64" s="47">
        <f>+'5.1. Séreignard.'!AL46-'5.1. Séreignard.'!AL48+'5.1. Séreignard.'!AL50</f>
        <v>0</v>
      </c>
      <c r="AN64" s="47">
        <f>+'5.1. Séreignard.'!AM46-'5.1. Séreignard.'!AM48+'5.1. Séreignard.'!AM50</f>
        <v>162</v>
      </c>
      <c r="AO64" s="47">
        <f>+'5.1. Séreignard.'!AN46-'5.1. Séreignard.'!AN48+'5.1. Séreignard.'!AN50</f>
        <v>2661</v>
      </c>
      <c r="AP64" s="47"/>
      <c r="AQ64" s="47">
        <f>+'5.1. Séreignard.'!AP46-'5.1. Séreignard.'!AP48+'5.1. Séreignard.'!AP50</f>
        <v>150572.1895</v>
      </c>
      <c r="AR64" s="47"/>
      <c r="AS64" s="7"/>
      <c r="AT64" s="7"/>
      <c r="AU64" s="7"/>
      <c r="AV64" s="34"/>
      <c r="AW64" s="34"/>
    </row>
    <row r="65" spans="1:49" ht="12.75">
      <c r="A65" s="7"/>
      <c r="B65" s="255"/>
      <c r="H65" s="2"/>
      <c r="AF65" s="2"/>
      <c r="AG65" s="2"/>
      <c r="AH65" s="2"/>
      <c r="AP65" s="34"/>
      <c r="AQ65" s="7"/>
      <c r="AR65" s="7"/>
      <c r="AS65" s="7"/>
      <c r="AT65" s="7"/>
      <c r="AU65" s="7"/>
      <c r="AV65" s="34"/>
      <c r="AW65" s="34"/>
    </row>
    <row r="66" spans="1:49" ht="12.75">
      <c r="A66" s="10" t="s">
        <v>316</v>
      </c>
      <c r="B66" s="255"/>
      <c r="C66" s="70">
        <f>+'5.1. Séreignard.'!B63+'5.1. Séreignard.'!B66-('5.2 Kennitölur (séreign)'!C63-'5.2 Kennitölur (séreign)'!C64)</f>
        <v>3771741</v>
      </c>
      <c r="D66" s="70">
        <f>+'5.1. Séreignard.'!C63+'5.1. Séreignard.'!C66-('5.2 Kennitölur (séreign)'!D63-'5.2 Kennitölur (séreign)'!D64)</f>
        <v>993334.0000000001</v>
      </c>
      <c r="E66" s="70">
        <f>+'5.1. Séreignard.'!D63+'5.1. Séreignard.'!D66-('5.2 Kennitölur (séreign)'!E63-'5.2 Kennitölur (séreign)'!E64)</f>
        <v>466521.80000000005</v>
      </c>
      <c r="F66" s="70">
        <f>+'5.1. Séreignard.'!E63+'5.1. Séreignard.'!E66-('5.2 Kennitölur (séreign)'!F63-'5.2 Kennitölur (séreign)'!F64)</f>
        <v>4512482</v>
      </c>
      <c r="G66" s="70">
        <f>+'5.1. Séreignard.'!F63+'5.1. Séreignard.'!F66-('5.2 Kennitölur (séreign)'!G63-'5.2 Kennitölur (séreign)'!G64)</f>
        <v>463143.97400000005</v>
      </c>
      <c r="H66" s="70">
        <f>+'5.1. Séreignard.'!G63+'5.1. Séreignard.'!G66-('5.2 Kennitölur (séreign)'!H63-'5.2 Kennitölur (séreign)'!H64)</f>
        <v>1106406.249</v>
      </c>
      <c r="I66" s="70">
        <f>+'5.1. Séreignard.'!H63+'5.1. Séreignard.'!H66-('5.2 Kennitölur (séreign)'!I63-'5.2 Kennitölur (séreign)'!I64)</f>
        <v>249650</v>
      </c>
      <c r="J66" s="70">
        <f>+'5.1. Séreignard.'!I63+'5.1. Séreignard.'!I66-('5.2 Kennitölur (séreign)'!J63-'5.2 Kennitölur (séreign)'!J64)</f>
        <v>17539</v>
      </c>
      <c r="K66" s="70">
        <f>+'5.1. Séreignard.'!J63+'5.1. Séreignard.'!J66-('5.2 Kennitölur (séreign)'!K63-'5.2 Kennitölur (séreign)'!K64)</f>
        <v>36441</v>
      </c>
      <c r="L66" s="70">
        <f>+'5.1. Séreignard.'!K63+'5.1. Séreignard.'!K66-('5.2 Kennitölur (séreign)'!L63-'5.2 Kennitölur (séreign)'!L64)</f>
        <v>404526</v>
      </c>
      <c r="M66" s="70">
        <f>+'5.1. Séreignard.'!L63+'5.1. Séreignard.'!L66-('5.2 Kennitölur (séreign)'!M63-'5.2 Kennitölur (séreign)'!M64)</f>
        <v>2136136</v>
      </c>
      <c r="N66" s="70">
        <f>+'5.1. Séreignard.'!M63+'5.1. Séreignard.'!M66-('5.2 Kennitölur (séreign)'!N63-'5.2 Kennitölur (séreign)'!N64)</f>
        <v>406589</v>
      </c>
      <c r="O66" s="70">
        <f>+'5.1. Séreignard.'!N63+'5.1. Séreignard.'!N66-('5.2 Kennitölur (séreign)'!O63-'5.2 Kennitölur (séreign)'!O64)</f>
        <v>1197172</v>
      </c>
      <c r="P66" s="70">
        <f>+'5.1. Séreignard.'!O63+'5.1. Séreignard.'!O66-('5.2 Kennitölur (séreign)'!P63-'5.2 Kennitölur (séreign)'!P64)</f>
        <v>42604153.599999994</v>
      </c>
      <c r="Q66" s="70">
        <f>+'5.1. Séreignard.'!P63+'5.1. Séreignard.'!P66-('5.2 Kennitölur (séreign)'!Q63-'5.2 Kennitölur (séreign)'!Q64)</f>
        <v>3058468.6</v>
      </c>
      <c r="R66" s="70">
        <f>+'5.1. Séreignard.'!Q63+'5.1. Séreignard.'!Q66-('5.2 Kennitölur (séreign)'!R63-'5.2 Kennitölur (séreign)'!R64)</f>
        <v>6744133</v>
      </c>
      <c r="S66" s="70">
        <f>+'5.1. Séreignard.'!R63+'5.1. Séreignard.'!R66-('5.2 Kennitölur (séreign)'!S63-'5.2 Kennitölur (séreign)'!S64)</f>
        <v>310703</v>
      </c>
      <c r="T66" s="70">
        <f>+'5.1. Séreignard.'!S63+'5.1. Séreignard.'!S66-('5.2 Kennitölur (séreign)'!T63-'5.2 Kennitölur (séreign)'!T64)</f>
        <v>8620908.017080002</v>
      </c>
      <c r="U66" s="70">
        <f>+'5.1. Séreignard.'!T63+'5.1. Séreignard.'!T66-('5.2 Kennitölur (séreign)'!U63-'5.2 Kennitölur (séreign)'!U64)</f>
        <v>32336440.589320004</v>
      </c>
      <c r="V66" s="70">
        <f>+'5.1. Séreignard.'!U63+'5.1. Séreignard.'!U66-('5.2 Kennitölur (séreign)'!V63-'5.2 Kennitölur (séreign)'!V64)</f>
        <v>2642951.54266</v>
      </c>
      <c r="W66" s="70">
        <f>+'5.1. Séreignard.'!V63+'5.1. Séreignard.'!V66-('5.2 Kennitölur (séreign)'!W63-'5.2 Kennitölur (séreign)'!W64)</f>
        <v>1499563.75394</v>
      </c>
      <c r="X66" s="70">
        <f>+'5.1. Séreignard.'!W63+'5.1. Séreignard.'!W66-('5.2 Kennitölur (séreign)'!X63-'5.2 Kennitölur (séreign)'!X64)</f>
        <v>272134</v>
      </c>
      <c r="Y66" s="70">
        <f>+'5.1. Séreignard.'!X63+'5.1. Séreignard.'!X66-('5.2 Kennitölur (séreign)'!Y63-'5.2 Kennitölur (séreign)'!Y64)</f>
        <v>632481</v>
      </c>
      <c r="Z66" s="70">
        <f>+'5.1. Séreignard.'!Y63+'5.1. Séreignard.'!Y66-('5.2 Kennitölur (séreign)'!Z63-'5.2 Kennitölur (séreign)'!Z64)</f>
        <v>2152225</v>
      </c>
      <c r="AA66" s="70">
        <f>+'5.1. Séreignard.'!Z63+'5.1. Séreignard.'!Z66-('5.2 Kennitölur (séreign)'!AA63-'5.2 Kennitölur (séreign)'!AA64)</f>
        <v>86685</v>
      </c>
      <c r="AB66" s="70">
        <f>+'5.1. Séreignard.'!AA63+'5.1. Séreignard.'!AA66-('5.2 Kennitölur (séreign)'!AB63-'5.2 Kennitölur (séreign)'!AB64)</f>
        <v>255507</v>
      </c>
      <c r="AC66" s="70">
        <f>+'5.1. Séreignard.'!AB63+'5.1. Séreignard.'!AB66-('5.2 Kennitölur (séreign)'!AC63-'5.2 Kennitölur (séreign)'!AC64)</f>
        <v>1275801</v>
      </c>
      <c r="AD66" s="70">
        <f>+'5.1. Séreignard.'!AC63+'5.1. Séreignard.'!AC66-('5.2 Kennitölur (séreign)'!AD63-'5.2 Kennitölur (séreign)'!AD64)</f>
        <v>38403</v>
      </c>
      <c r="AE66" s="70">
        <f>+'5.1. Séreignard.'!AD63+'5.1. Séreignard.'!AD66-('5.2 Kennitölur (séreign)'!AE63-'5.2 Kennitölur (séreign)'!AE64)</f>
        <v>102862</v>
      </c>
      <c r="AF66" s="70">
        <f>+'5.1. Séreignard.'!AE63+'5.1. Séreignard.'!AE66-('5.2 Kennitölur (séreign)'!AF63-'5.2 Kennitölur (séreign)'!AF64)</f>
        <v>490465.64099999995</v>
      </c>
      <c r="AG66" s="70">
        <f>+'5.1. Séreignard.'!AF63+'5.1. Séreignard.'!AF66-('5.2 Kennitölur (séreign)'!AG63-'5.2 Kennitölur (séreign)'!AG64)</f>
        <v>78311.27900000001</v>
      </c>
      <c r="AH66" s="70">
        <f>+'5.1. Séreignard.'!AG63+'5.1. Séreignard.'!AG66-('5.2 Kennitölur (séreign)'!AH63-'5.2 Kennitölur (séreign)'!AH64)</f>
        <v>52788.676</v>
      </c>
      <c r="AI66" s="70">
        <f>+'5.1. Séreignard.'!AH63+'5.1. Séreignard.'!AH66-('5.2 Kennitölur (séreign)'!AI63-'5.2 Kennitölur (séreign)'!AI64)</f>
        <v>98471</v>
      </c>
      <c r="AJ66" s="70">
        <f>+'5.1. Séreignard.'!AI63+'5.1. Séreignard.'!AI66-('5.2 Kennitölur (séreign)'!AJ63-'5.2 Kennitölur (séreign)'!AJ64)</f>
        <v>5614903.368000001</v>
      </c>
      <c r="AK66" s="70">
        <f>+'5.1. Séreignard.'!AJ63+'5.1. Séreignard.'!AJ66-('5.2 Kennitölur (séreign)'!AK63-'5.2 Kennitölur (séreign)'!AK64)</f>
        <v>7745278.6049999995</v>
      </c>
      <c r="AL66" s="70">
        <f>+'5.1. Séreignard.'!AK63+'5.1. Séreignard.'!AK66-('5.2 Kennitölur (séreign)'!AL63-'5.2 Kennitölur (séreign)'!AL64)</f>
        <v>1947779.204</v>
      </c>
      <c r="AM66" s="70">
        <f>+'5.1. Séreignard.'!AL63+'5.1. Séreignard.'!AL66-('5.2 Kennitölur (séreign)'!AM63-'5.2 Kennitölur (séreign)'!AM64)</f>
        <v>154013.416</v>
      </c>
      <c r="AN66" s="70">
        <f>+'5.1. Séreignard.'!AM63+'5.1. Séreignard.'!AM66-('5.2 Kennitölur (séreign)'!AN63-'5.2 Kennitölur (séreign)'!AN64)</f>
        <v>21037</v>
      </c>
      <c r="AO66" s="70">
        <f>+'5.1. Séreignard.'!AN63+'5.1. Séreignard.'!AN66-('5.2 Kennitölur (séreign)'!AO63-'5.2 Kennitölur (séreign)'!AO64)</f>
        <v>2927404</v>
      </c>
      <c r="AP66" s="70"/>
      <c r="AQ66" s="70">
        <f>+'5.1. Séreignard.'!AP63+'5.1. Séreignard.'!AP66-('5.2 Kennitölur (séreign)'!AQ63-'5.2 Kennitölur (séreign)'!AQ64)</f>
        <v>137525554.31499997</v>
      </c>
      <c r="AR66" s="70"/>
      <c r="AS66" s="70"/>
      <c r="AT66" s="7"/>
      <c r="AU66" s="7"/>
      <c r="AV66" s="34"/>
      <c r="AW66" s="34"/>
    </row>
    <row r="67" spans="1:49" ht="12.75">
      <c r="A67" s="10" t="s">
        <v>410</v>
      </c>
      <c r="B67" s="255"/>
      <c r="H67" s="2"/>
      <c r="AF67" s="2"/>
      <c r="AG67" s="2"/>
      <c r="AH67" s="2"/>
      <c r="AP67" s="34"/>
      <c r="AQ67" s="7"/>
      <c r="AR67" s="7"/>
      <c r="AS67" s="7"/>
      <c r="AT67" s="7"/>
      <c r="AU67" s="7"/>
      <c r="AV67" s="34"/>
      <c r="AW67" s="34"/>
    </row>
    <row r="68" spans="1:49" ht="12.75">
      <c r="A68" s="10" t="s">
        <v>317</v>
      </c>
      <c r="B68" s="255"/>
      <c r="C68" s="36">
        <f>(2*(C63-C64))/C66</f>
        <v>0.14954367227230078</v>
      </c>
      <c r="D68" s="36">
        <f aca="true" t="shared" si="5" ref="D68:AO68">(2*(D63-D64))/D66</f>
        <v>0.12135213332071587</v>
      </c>
      <c r="E68" s="36">
        <f t="shared" si="5"/>
        <v>0.09846913906274046</v>
      </c>
      <c r="F68" s="36">
        <f t="shared" si="5"/>
        <v>0.16569861109695286</v>
      </c>
      <c r="G68" s="36">
        <f t="shared" si="5"/>
        <v>0.18748833381129126</v>
      </c>
      <c r="H68" s="36">
        <f t="shared" si="5"/>
        <v>0.15490671727035768</v>
      </c>
      <c r="I68" s="36">
        <f t="shared" si="5"/>
        <v>0.12384538353695174</v>
      </c>
      <c r="J68" s="36">
        <f t="shared" si="5"/>
        <v>0.12144363988824905</v>
      </c>
      <c r="K68" s="36">
        <f t="shared" si="5"/>
        <v>0.10307071704947723</v>
      </c>
      <c r="L68" s="36">
        <f t="shared" si="5"/>
        <v>0.09680959938298156</v>
      </c>
      <c r="M68" s="36">
        <f t="shared" si="5"/>
        <v>0.11791384069179116</v>
      </c>
      <c r="N68" s="36">
        <f t="shared" si="5"/>
        <v>0.36738327893769873</v>
      </c>
      <c r="O68" s="36">
        <f t="shared" si="5"/>
        <v>0.3645274029128647</v>
      </c>
      <c r="P68" s="36">
        <f t="shared" si="5"/>
        <v>0.13467400511859953</v>
      </c>
      <c r="Q68" s="36">
        <f t="shared" si="5"/>
        <v>0.12085760828147786</v>
      </c>
      <c r="R68" s="36">
        <f t="shared" si="5"/>
        <v>0.0994230095996031</v>
      </c>
      <c r="S68" s="36">
        <f t="shared" si="5"/>
        <v>0.11632330553615511</v>
      </c>
      <c r="T68" s="36">
        <f t="shared" si="5"/>
        <v>0.08838035226367146</v>
      </c>
      <c r="U68" s="36">
        <f t="shared" si="5"/>
        <v>0.1246340141384445</v>
      </c>
      <c r="V68" s="36">
        <f t="shared" si="5"/>
        <v>0.11375091558403021</v>
      </c>
      <c r="W68" s="36">
        <f t="shared" si="5"/>
        <v>0.10170392128996619</v>
      </c>
      <c r="X68" s="36">
        <f t="shared" si="5"/>
        <v>0.09174156849199291</v>
      </c>
      <c r="Y68" s="36">
        <f t="shared" si="5"/>
        <v>0.10880959269922733</v>
      </c>
      <c r="Z68" s="36">
        <f t="shared" si="5"/>
        <v>0.19497217995330413</v>
      </c>
      <c r="AA68" s="36">
        <f t="shared" si="5"/>
        <v>0.09775624387148872</v>
      </c>
      <c r="AB68" s="36">
        <f t="shared" si="5"/>
        <v>0.27376157991757566</v>
      </c>
      <c r="AC68" s="36">
        <f t="shared" si="5"/>
        <v>0.11434855435918298</v>
      </c>
      <c r="AD68" s="36">
        <f t="shared" si="5"/>
        <v>0.13649975262349295</v>
      </c>
      <c r="AE68" s="36">
        <f t="shared" si="5"/>
        <v>0.15539266201318272</v>
      </c>
      <c r="AF68" s="36">
        <f t="shared" si="5"/>
        <v>0.1479328905732665</v>
      </c>
      <c r="AG68" s="36">
        <f t="shared" si="5"/>
        <v>0.14396393653588518</v>
      </c>
      <c r="AH68" s="36">
        <f t="shared" si="5"/>
        <v>0.10413274998600078</v>
      </c>
      <c r="AI68" s="36">
        <f t="shared" si="5"/>
        <v>0.09432218622741721</v>
      </c>
      <c r="AJ68" s="36">
        <f t="shared" si="5"/>
        <v>0.11349969825518107</v>
      </c>
      <c r="AK68" s="36">
        <f t="shared" si="5"/>
        <v>0.11052865360419145</v>
      </c>
      <c r="AL68" s="36">
        <f t="shared" si="5"/>
        <v>0.11253943647711315</v>
      </c>
      <c r="AM68" s="36">
        <f t="shared" si="5"/>
        <v>0.07369872245415296</v>
      </c>
      <c r="AN68" s="36">
        <f t="shared" si="5"/>
        <v>0.05960925987545753</v>
      </c>
      <c r="AO68" s="36">
        <f t="shared" si="5"/>
        <v>0.1259375200689758</v>
      </c>
      <c r="AP68" s="36"/>
      <c r="AQ68" s="36">
        <f>(2*(AQ63-AQ64))/AQ66</f>
        <v>0.12841790707746345</v>
      </c>
      <c r="AR68" s="36"/>
      <c r="AS68" s="36"/>
      <c r="AT68" s="36"/>
      <c r="AU68" s="46"/>
      <c r="AV68" s="40"/>
      <c r="AW68" s="34"/>
    </row>
    <row r="69" spans="1:49" ht="12.75">
      <c r="A69" s="72" t="s">
        <v>509</v>
      </c>
      <c r="B69" s="255"/>
      <c r="C69" s="36">
        <v>0.0391</v>
      </c>
      <c r="D69" s="36">
        <v>0.0391</v>
      </c>
      <c r="E69" s="36">
        <v>0.0391</v>
      </c>
      <c r="F69" s="36">
        <v>0.0391</v>
      </c>
      <c r="G69" s="36">
        <v>0.0391</v>
      </c>
      <c r="H69" s="36">
        <v>0.0391</v>
      </c>
      <c r="I69" s="36">
        <v>0.0391</v>
      </c>
      <c r="J69" s="36">
        <v>0.0391</v>
      </c>
      <c r="K69" s="36">
        <v>0.0391</v>
      </c>
      <c r="L69" s="36">
        <v>0.0391</v>
      </c>
      <c r="M69" s="36">
        <v>0.0391</v>
      </c>
      <c r="N69" s="36">
        <v>0.0391</v>
      </c>
      <c r="O69" s="36">
        <v>0.0391</v>
      </c>
      <c r="P69" s="36">
        <v>0.0391</v>
      </c>
      <c r="Q69" s="36">
        <v>0.0391</v>
      </c>
      <c r="R69" s="36">
        <v>0.0391</v>
      </c>
      <c r="S69" s="36">
        <v>0.0391</v>
      </c>
      <c r="T69" s="36">
        <v>0.0391</v>
      </c>
      <c r="U69" s="36">
        <v>0.0391</v>
      </c>
      <c r="V69" s="36">
        <v>0.0391</v>
      </c>
      <c r="W69" s="36">
        <v>0.0391</v>
      </c>
      <c r="X69" s="36">
        <v>0.0391</v>
      </c>
      <c r="Y69" s="36">
        <v>0.0391</v>
      </c>
      <c r="Z69" s="36">
        <v>0.0391</v>
      </c>
      <c r="AA69" s="36">
        <v>0.0391</v>
      </c>
      <c r="AB69" s="36">
        <v>0.0391</v>
      </c>
      <c r="AC69" s="36">
        <v>0.0391</v>
      </c>
      <c r="AD69" s="36">
        <v>0.0391</v>
      </c>
      <c r="AE69" s="36">
        <v>0.0391</v>
      </c>
      <c r="AF69" s="36">
        <v>0.0391</v>
      </c>
      <c r="AG69" s="36">
        <v>0.0391</v>
      </c>
      <c r="AH69" s="36">
        <v>0.0391</v>
      </c>
      <c r="AI69" s="36">
        <v>0.0391</v>
      </c>
      <c r="AJ69" s="36">
        <v>0.0391</v>
      </c>
      <c r="AK69" s="36">
        <v>0.0391</v>
      </c>
      <c r="AL69" s="36">
        <v>0.0391</v>
      </c>
      <c r="AM69" s="36">
        <v>0.0391</v>
      </c>
      <c r="AN69" s="36">
        <v>0.0391</v>
      </c>
      <c r="AO69" s="36">
        <v>0.0391</v>
      </c>
      <c r="AP69" s="36"/>
      <c r="AQ69" s="36">
        <v>0.0391</v>
      </c>
      <c r="AR69" s="36"/>
      <c r="AS69" s="36"/>
      <c r="AT69" s="36"/>
      <c r="AU69" s="46"/>
      <c r="AV69" s="34"/>
      <c r="AW69" s="34"/>
    </row>
    <row r="70" spans="1:49" ht="12.75">
      <c r="A70" s="18"/>
      <c r="B70" s="263"/>
      <c r="H70" s="2"/>
      <c r="AF70" s="2"/>
      <c r="AG70" s="2"/>
      <c r="AH70" s="2"/>
      <c r="AP70" s="34"/>
      <c r="AQ70" s="41"/>
      <c r="AR70" s="41"/>
      <c r="AS70" s="41"/>
      <c r="AT70" s="41"/>
      <c r="AU70" s="41"/>
      <c r="AV70" s="34"/>
      <c r="AW70" s="34"/>
    </row>
    <row r="71" spans="1:49" ht="12.75">
      <c r="A71" s="72" t="s">
        <v>411</v>
      </c>
      <c r="B71" s="255"/>
      <c r="C71" s="36">
        <f>+(1+C68)/(1+C69)-1</f>
        <v>0.10628781856635627</v>
      </c>
      <c r="D71" s="36">
        <f aca="true" t="shared" si="6" ref="D71:AO71">+(1+D68)/(1+D69)-1</f>
        <v>0.07915709106025992</v>
      </c>
      <c r="E71" s="36">
        <f t="shared" si="6"/>
        <v>0.05713515452097062</v>
      </c>
      <c r="F71" s="36">
        <f t="shared" si="6"/>
        <v>0.12183486776725339</v>
      </c>
      <c r="G71" s="36">
        <f t="shared" si="6"/>
        <v>0.14280467116859907</v>
      </c>
      <c r="H71" s="36">
        <f t="shared" si="6"/>
        <v>0.11144905906106994</v>
      </c>
      <c r="I71" s="36">
        <f t="shared" si="6"/>
        <v>0.08155652346930209</v>
      </c>
      <c r="J71" s="36">
        <f t="shared" si="6"/>
        <v>0.07924515435304502</v>
      </c>
      <c r="K71" s="36">
        <f t="shared" si="6"/>
        <v>0.06156358103115922</v>
      </c>
      <c r="L71" s="36">
        <f t="shared" si="6"/>
        <v>0.055538061190435695</v>
      </c>
      <c r="M71" s="36">
        <f t="shared" si="6"/>
        <v>0.07584817697217905</v>
      </c>
      <c r="N71" s="36">
        <f t="shared" si="6"/>
        <v>0.3159304002864969</v>
      </c>
      <c r="O71" s="36">
        <f t="shared" si="6"/>
        <v>0.31318198721284274</v>
      </c>
      <c r="P71" s="36">
        <f t="shared" si="6"/>
        <v>0.09197767791223144</v>
      </c>
      <c r="Q71" s="36">
        <f t="shared" si="6"/>
        <v>0.07868117436385136</v>
      </c>
      <c r="R71" s="36">
        <f t="shared" si="6"/>
        <v>0.058053132133195406</v>
      </c>
      <c r="S71" s="36">
        <f t="shared" si="6"/>
        <v>0.07431749161404588</v>
      </c>
      <c r="T71" s="36">
        <f t="shared" si="6"/>
        <v>0.04742599582684193</v>
      </c>
      <c r="U71" s="36">
        <f t="shared" si="6"/>
        <v>0.08231547891294833</v>
      </c>
      <c r="V71" s="36">
        <f t="shared" si="6"/>
        <v>0.07184189739585234</v>
      </c>
      <c r="W71" s="36">
        <f t="shared" si="6"/>
        <v>0.06024821604269692</v>
      </c>
      <c r="X71" s="36">
        <f t="shared" si="6"/>
        <v>0.050660733800397484</v>
      </c>
      <c r="Y71" s="36">
        <f t="shared" si="6"/>
        <v>0.06708651015227352</v>
      </c>
      <c r="Z71" s="36">
        <f t="shared" si="6"/>
        <v>0.15000690978087228</v>
      </c>
      <c r="AA71" s="36">
        <f t="shared" si="6"/>
        <v>0.05644908466123466</v>
      </c>
      <c r="AB71" s="36">
        <f t="shared" si="6"/>
        <v>0.2258315656987544</v>
      </c>
      <c r="AC71" s="36">
        <f t="shared" si="6"/>
        <v>0.07241704779057168</v>
      </c>
      <c r="AD71" s="36">
        <f t="shared" si="6"/>
        <v>0.09373472488065926</v>
      </c>
      <c r="AE71" s="36">
        <f t="shared" si="6"/>
        <v>0.11191671832661232</v>
      </c>
      <c r="AF71" s="36">
        <f t="shared" si="6"/>
        <v>0.10473764851627987</v>
      </c>
      <c r="AG71" s="36">
        <f t="shared" si="6"/>
        <v>0.1009180411277888</v>
      </c>
      <c r="AH71" s="36">
        <f t="shared" si="6"/>
        <v>0.06258565103070035</v>
      </c>
      <c r="AI71" s="36">
        <f t="shared" si="6"/>
        <v>0.05314424620095992</v>
      </c>
      <c r="AJ71" s="36">
        <f t="shared" si="6"/>
        <v>0.07160013305281598</v>
      </c>
      <c r="AK71" s="36">
        <f t="shared" si="6"/>
        <v>0.06874088500066544</v>
      </c>
      <c r="AL71" s="36">
        <f t="shared" si="6"/>
        <v>0.0706760046935937</v>
      </c>
      <c r="AM71" s="36">
        <f t="shared" si="6"/>
        <v>0.03329681691286024</v>
      </c>
      <c r="AN71" s="36">
        <f t="shared" si="6"/>
        <v>0.01973752273646201</v>
      </c>
      <c r="AO71" s="36">
        <f t="shared" si="6"/>
        <v>0.08356993558750458</v>
      </c>
      <c r="AP71" s="36"/>
      <c r="AQ71" s="36">
        <f>+(1+AQ68)/(1+AQ69)-1</f>
        <v>0.08595698881480462</v>
      </c>
      <c r="AR71" s="36"/>
      <c r="AS71" s="36"/>
      <c r="AT71" s="36"/>
      <c r="AU71" s="46"/>
      <c r="AV71" s="34"/>
      <c r="AW71" s="34"/>
    </row>
    <row r="72" spans="8:48" ht="12.75">
      <c r="H72" s="2"/>
      <c r="AF72" s="2"/>
      <c r="AG72" s="2"/>
      <c r="AH72" s="2"/>
      <c r="AP72" s="34"/>
      <c r="AQ72" s="7"/>
      <c r="AR72" s="7"/>
      <c r="AS72" s="7"/>
      <c r="AT72" s="7"/>
      <c r="AU72" s="7"/>
      <c r="AV72" s="34"/>
    </row>
    <row r="73" spans="1:48" ht="12.75">
      <c r="A73" s="14" t="s">
        <v>270</v>
      </c>
      <c r="B73" s="255"/>
      <c r="H73" s="2"/>
      <c r="AF73" s="2"/>
      <c r="AG73" s="2"/>
      <c r="AH73" s="2"/>
      <c r="AP73" s="34"/>
      <c r="AQ73" s="7"/>
      <c r="AR73" s="7"/>
      <c r="AS73" s="7"/>
      <c r="AT73" s="7"/>
      <c r="AU73" s="7"/>
      <c r="AV73" s="34"/>
    </row>
    <row r="74" spans="1:49" ht="12.75">
      <c r="A74" s="74" t="s">
        <v>352</v>
      </c>
      <c r="B74" s="260"/>
      <c r="C74" s="5">
        <f>+'5.1. Séreignard.'!B21</f>
        <v>9740</v>
      </c>
      <c r="D74" s="5">
        <f>+'5.1. Séreignard.'!C21</f>
        <v>3305</v>
      </c>
      <c r="E74" s="5">
        <f>+'5.1. Séreignard.'!D21</f>
        <v>14048</v>
      </c>
      <c r="F74" s="5">
        <f>+'5.1. Séreignard.'!E21</f>
        <v>19746</v>
      </c>
      <c r="G74" s="5">
        <f>+'5.1. Séreignard.'!F21</f>
        <v>1894.532</v>
      </c>
      <c r="H74" s="5">
        <f>+'5.1. Séreignard.'!G21</f>
        <v>6927.2</v>
      </c>
      <c r="I74" s="5">
        <f>+'5.1. Séreignard.'!H21</f>
        <v>598</v>
      </c>
      <c r="J74" s="5">
        <f>+'5.1. Séreignard.'!I21</f>
        <v>18</v>
      </c>
      <c r="K74" s="5">
        <f>+'5.1. Séreignard.'!J21</f>
        <v>0</v>
      </c>
      <c r="L74" s="5">
        <f>+'5.1. Séreignard.'!K21</f>
        <v>2381</v>
      </c>
      <c r="M74" s="5">
        <f>+'5.1. Séreignard.'!L21</f>
        <v>11804</v>
      </c>
      <c r="N74" s="5">
        <f>+'5.1. Séreignard.'!M21</f>
        <v>8814</v>
      </c>
      <c r="O74" s="5">
        <f>+'5.1. Séreignard.'!N21</f>
        <v>586</v>
      </c>
      <c r="P74" s="5">
        <f>+'5.1. Séreignard.'!O21</f>
        <v>146766</v>
      </c>
      <c r="Q74" s="5">
        <f>+'5.1. Séreignard.'!P21</f>
        <v>25208.4</v>
      </c>
      <c r="R74" s="5">
        <f>+'5.1. Séreignard.'!Q21</f>
        <v>161749</v>
      </c>
      <c r="S74" s="5">
        <f>+'5.1. Séreignard.'!R21</f>
        <v>636</v>
      </c>
      <c r="T74" s="5">
        <f>+'5.1. Séreignard.'!S21</f>
        <v>5091.641</v>
      </c>
      <c r="U74" s="5">
        <f>+'5.1. Séreignard.'!T21</f>
        <v>97092.779</v>
      </c>
      <c r="V74" s="5">
        <f>+'5.1. Séreignard.'!U21</f>
        <v>49773.807</v>
      </c>
      <c r="W74" s="5">
        <f>+'5.1. Séreignard.'!V21</f>
        <v>46495.146</v>
      </c>
      <c r="X74" s="5">
        <f>+'5.1. Séreignard.'!W21</f>
        <v>0</v>
      </c>
      <c r="Y74" s="5">
        <f>+'5.1. Séreignard.'!X21</f>
        <v>0</v>
      </c>
      <c r="Z74" s="5">
        <f>+'5.1. Séreignard.'!Y21</f>
        <v>34382</v>
      </c>
      <c r="AA74" s="5">
        <f>+'5.1. Séreignard.'!Z21</f>
        <v>68</v>
      </c>
      <c r="AB74" s="5">
        <f>+'5.1. Séreignard.'!AA21</f>
        <v>0</v>
      </c>
      <c r="AC74" s="5">
        <f>+'5.1. Séreignard.'!AB21</f>
        <v>190</v>
      </c>
      <c r="AD74" s="5">
        <f>+'5.1. Séreignard.'!AC21</f>
        <v>175</v>
      </c>
      <c r="AE74" s="5">
        <f>+'5.1. Séreignard.'!AD21</f>
        <v>0</v>
      </c>
      <c r="AF74" s="5">
        <f>+'5.1. Séreignard.'!AE21</f>
        <v>141</v>
      </c>
      <c r="AG74" s="5">
        <f>+'5.1. Séreignard.'!AF21</f>
        <v>1290</v>
      </c>
      <c r="AH74" s="5">
        <f>+'5.1. Séreignard.'!AG21</f>
        <v>4010.168</v>
      </c>
      <c r="AI74" s="5">
        <f>+'5.1. Séreignard.'!AH21</f>
        <v>0</v>
      </c>
      <c r="AJ74" s="5">
        <f>+'5.1. Séreignard.'!AI21</f>
        <v>5350.671</v>
      </c>
      <c r="AK74" s="5">
        <f>+'5.1. Séreignard.'!AJ21</f>
        <v>19032.569</v>
      </c>
      <c r="AL74" s="5">
        <f>+'5.1. Séreignard.'!AK21</f>
        <v>69191.704</v>
      </c>
      <c r="AM74" s="5">
        <f>+'5.1. Séreignard.'!AL21</f>
        <v>3351.03</v>
      </c>
      <c r="AN74" s="5">
        <f>+'5.1. Séreignard.'!AM21</f>
        <v>0</v>
      </c>
      <c r="AO74" s="5">
        <f>+'5.1. Séreignard.'!AN21</f>
        <v>37152</v>
      </c>
      <c r="AP74" s="5"/>
      <c r="AQ74" s="5">
        <f>SUM(C74:AO74)</f>
        <v>787008.6469999999</v>
      </c>
      <c r="AR74" s="5"/>
      <c r="AS74" s="5"/>
      <c r="AT74" s="5"/>
      <c r="AU74" s="5"/>
      <c r="AV74" s="5"/>
      <c r="AW74" s="5"/>
    </row>
    <row r="75" spans="1:49" ht="12.75">
      <c r="A75" s="74"/>
      <c r="B75" s="26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Q75" s="5"/>
      <c r="AR75" s="5"/>
      <c r="AS75" s="7"/>
      <c r="AT75" s="7"/>
      <c r="AU75" s="7"/>
      <c r="AV75" s="5"/>
      <c r="AW75" s="5"/>
    </row>
    <row r="76" spans="1:49" ht="12.75">
      <c r="A76" s="10" t="s">
        <v>353</v>
      </c>
      <c r="B76" s="260"/>
      <c r="C76" s="5">
        <f>+C74*(C22/100)</f>
        <v>8016.0199999999995</v>
      </c>
      <c r="D76" s="5">
        <f aca="true" t="shared" si="7" ref="D76:AO76">+D74*(D22/100)</f>
        <v>3305</v>
      </c>
      <c r="E76" s="5">
        <f t="shared" si="7"/>
        <v>13373.696000000002</v>
      </c>
      <c r="F76" s="5">
        <f t="shared" si="7"/>
        <v>19746</v>
      </c>
      <c r="G76" s="5">
        <f t="shared" si="7"/>
        <v>1894.532</v>
      </c>
      <c r="H76" s="5">
        <f t="shared" si="7"/>
        <v>6927.2</v>
      </c>
      <c r="I76" s="5">
        <f t="shared" si="7"/>
        <v>23.92</v>
      </c>
      <c r="J76" s="5">
        <f t="shared" si="7"/>
        <v>16.074</v>
      </c>
      <c r="K76" s="5">
        <f t="shared" si="7"/>
        <v>0</v>
      </c>
      <c r="L76" s="5">
        <f t="shared" si="7"/>
        <v>2381</v>
      </c>
      <c r="M76" s="5">
        <f t="shared" si="7"/>
        <v>11804</v>
      </c>
      <c r="N76" s="5">
        <f t="shared" si="7"/>
        <v>8717.046</v>
      </c>
      <c r="O76" s="5">
        <f t="shared" si="7"/>
        <v>439.5</v>
      </c>
      <c r="P76" s="5">
        <f t="shared" si="7"/>
        <v>95838.198</v>
      </c>
      <c r="Q76" s="5">
        <f t="shared" si="7"/>
        <v>21200.2644</v>
      </c>
      <c r="R76" s="5">
        <f t="shared" si="7"/>
        <v>143147.865</v>
      </c>
      <c r="S76" s="5">
        <f t="shared" si="7"/>
        <v>636</v>
      </c>
      <c r="T76" s="5">
        <f t="shared" si="7"/>
        <v>0</v>
      </c>
      <c r="U76" s="5">
        <f t="shared" si="7"/>
        <v>0</v>
      </c>
      <c r="V76" s="5">
        <f t="shared" si="7"/>
        <v>0</v>
      </c>
      <c r="W76" s="5">
        <f t="shared" si="7"/>
        <v>0</v>
      </c>
      <c r="X76" s="5">
        <f t="shared" si="7"/>
        <v>0</v>
      </c>
      <c r="Y76" s="5">
        <f t="shared" si="7"/>
        <v>0</v>
      </c>
      <c r="Z76" s="5">
        <f t="shared" si="7"/>
        <v>34382</v>
      </c>
      <c r="AA76" s="5">
        <f t="shared" si="7"/>
        <v>68</v>
      </c>
      <c r="AB76" s="5">
        <f t="shared" si="7"/>
        <v>0</v>
      </c>
      <c r="AC76" s="5">
        <f t="shared" si="7"/>
        <v>190</v>
      </c>
      <c r="AD76" s="5">
        <f t="shared" si="7"/>
        <v>175</v>
      </c>
      <c r="AE76" s="5">
        <f t="shared" si="7"/>
        <v>0</v>
      </c>
      <c r="AF76" s="5">
        <f t="shared" si="7"/>
        <v>141</v>
      </c>
      <c r="AG76" s="5">
        <f t="shared" si="7"/>
        <v>1290</v>
      </c>
      <c r="AH76" s="5">
        <f t="shared" si="7"/>
        <v>3360.520784</v>
      </c>
      <c r="AI76" s="5">
        <f t="shared" si="7"/>
        <v>0</v>
      </c>
      <c r="AJ76" s="5">
        <f t="shared" si="7"/>
        <v>1998.4756185</v>
      </c>
      <c r="AK76" s="5">
        <f t="shared" si="7"/>
        <v>14706.466066299998</v>
      </c>
      <c r="AL76" s="5">
        <f t="shared" si="7"/>
        <v>66908.377768</v>
      </c>
      <c r="AM76" s="5">
        <f t="shared" si="7"/>
        <v>0</v>
      </c>
      <c r="AN76" s="5">
        <f t="shared" si="7"/>
        <v>0</v>
      </c>
      <c r="AO76" s="5">
        <f t="shared" si="7"/>
        <v>34142.688</v>
      </c>
      <c r="AP76" s="5"/>
      <c r="AQ76" s="5">
        <f aca="true" t="shared" si="8" ref="AQ76:AQ100">SUM(C76:AO76)</f>
        <v>494828.84363679995</v>
      </c>
      <c r="AR76" s="5"/>
      <c r="AS76" s="5"/>
      <c r="AT76" s="5"/>
      <c r="AU76" s="5"/>
      <c r="AV76" s="5"/>
      <c r="AW76" s="73"/>
    </row>
    <row r="77" spans="1:76" ht="12.75">
      <c r="A77" s="10" t="s">
        <v>354</v>
      </c>
      <c r="B77" s="260"/>
      <c r="C77" s="5">
        <f>+C74*(C23/100)</f>
        <v>603.88</v>
      </c>
      <c r="D77" s="5">
        <f aca="true" t="shared" si="9" ref="D77:AO77">+D74*(D23/100)</f>
        <v>0</v>
      </c>
      <c r="E77" s="5">
        <f t="shared" si="9"/>
        <v>154.52800000000002</v>
      </c>
      <c r="F77" s="5">
        <f t="shared" si="9"/>
        <v>0</v>
      </c>
      <c r="G77" s="5">
        <f t="shared" si="9"/>
        <v>0</v>
      </c>
      <c r="H77" s="5">
        <f t="shared" si="9"/>
        <v>0</v>
      </c>
      <c r="I77" s="5">
        <f t="shared" si="9"/>
        <v>523.25</v>
      </c>
      <c r="J77" s="5">
        <f t="shared" si="9"/>
        <v>1.926</v>
      </c>
      <c r="K77" s="5">
        <f t="shared" si="9"/>
        <v>0</v>
      </c>
      <c r="L77" s="5">
        <f t="shared" si="9"/>
        <v>0</v>
      </c>
      <c r="M77" s="5">
        <f t="shared" si="9"/>
        <v>0</v>
      </c>
      <c r="N77" s="5">
        <f t="shared" si="9"/>
        <v>96.95400000000001</v>
      </c>
      <c r="O77" s="5">
        <f t="shared" si="9"/>
        <v>146.5</v>
      </c>
      <c r="P77" s="5">
        <f t="shared" si="9"/>
        <v>7044.768</v>
      </c>
      <c r="Q77" s="5">
        <f t="shared" si="9"/>
        <v>680.6268000000001</v>
      </c>
      <c r="R77" s="5">
        <f t="shared" si="9"/>
        <v>2426.235</v>
      </c>
      <c r="S77" s="5">
        <f t="shared" si="9"/>
        <v>0</v>
      </c>
      <c r="T77" s="5">
        <f t="shared" si="9"/>
        <v>0</v>
      </c>
      <c r="U77" s="5">
        <f t="shared" si="9"/>
        <v>0</v>
      </c>
      <c r="V77" s="5">
        <f t="shared" si="9"/>
        <v>0</v>
      </c>
      <c r="W77" s="5">
        <f t="shared" si="9"/>
        <v>0</v>
      </c>
      <c r="X77" s="5">
        <f t="shared" si="9"/>
        <v>0</v>
      </c>
      <c r="Y77" s="5">
        <f t="shared" si="9"/>
        <v>0</v>
      </c>
      <c r="Z77" s="5">
        <f t="shared" si="9"/>
        <v>0</v>
      </c>
      <c r="AA77" s="5">
        <f t="shared" si="9"/>
        <v>0</v>
      </c>
      <c r="AB77" s="5">
        <f t="shared" si="9"/>
        <v>0</v>
      </c>
      <c r="AC77" s="5">
        <f t="shared" si="9"/>
        <v>0</v>
      </c>
      <c r="AD77" s="5">
        <f t="shared" si="9"/>
        <v>0</v>
      </c>
      <c r="AE77" s="5">
        <f t="shared" si="9"/>
        <v>0</v>
      </c>
      <c r="AF77" s="5">
        <f t="shared" si="9"/>
        <v>0</v>
      </c>
      <c r="AG77" s="5">
        <f t="shared" si="9"/>
        <v>0</v>
      </c>
      <c r="AH77" s="5">
        <f t="shared" si="9"/>
        <v>649.6472160000001</v>
      </c>
      <c r="AI77" s="5">
        <f t="shared" si="9"/>
        <v>0</v>
      </c>
      <c r="AJ77" s="5">
        <f t="shared" si="9"/>
        <v>2363.9264478</v>
      </c>
      <c r="AK77" s="5">
        <f t="shared" si="9"/>
        <v>1501.6696941</v>
      </c>
      <c r="AL77" s="5">
        <f t="shared" si="9"/>
        <v>0</v>
      </c>
      <c r="AM77" s="5">
        <f t="shared" si="9"/>
        <v>0</v>
      </c>
      <c r="AN77" s="5">
        <f t="shared" si="9"/>
        <v>0</v>
      </c>
      <c r="AO77" s="5">
        <f t="shared" si="9"/>
        <v>520.1279999999999</v>
      </c>
      <c r="AP77" s="5"/>
      <c r="AQ77" s="5">
        <f t="shared" si="8"/>
        <v>16714.039157900002</v>
      </c>
      <c r="AR77" s="5"/>
      <c r="AS77" s="5"/>
      <c r="AT77" s="5"/>
      <c r="AU77" s="5"/>
      <c r="AV77" s="5"/>
      <c r="AW77" s="8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</row>
    <row r="78" spans="1:76" ht="12.75">
      <c r="A78" s="10" t="s">
        <v>355</v>
      </c>
      <c r="B78" s="260"/>
      <c r="C78" s="5">
        <f>+C74*(C24/100)</f>
        <v>399.34</v>
      </c>
      <c r="D78" s="5">
        <f aca="true" t="shared" si="10" ref="D78:AO78">+D74*(D24/100)</f>
        <v>0</v>
      </c>
      <c r="E78" s="5">
        <f t="shared" si="10"/>
        <v>519.7760000000001</v>
      </c>
      <c r="F78" s="5">
        <f t="shared" si="10"/>
        <v>0</v>
      </c>
      <c r="G78" s="5">
        <f t="shared" si="10"/>
        <v>0</v>
      </c>
      <c r="H78" s="5">
        <f t="shared" si="10"/>
        <v>0</v>
      </c>
      <c r="I78" s="5">
        <f t="shared" si="10"/>
        <v>50.830000000000005</v>
      </c>
      <c r="J78" s="5">
        <f t="shared" si="10"/>
        <v>0</v>
      </c>
      <c r="K78" s="5">
        <f t="shared" si="10"/>
        <v>0</v>
      </c>
      <c r="L78" s="5">
        <f t="shared" si="10"/>
        <v>0</v>
      </c>
      <c r="M78" s="5">
        <f t="shared" si="10"/>
        <v>0</v>
      </c>
      <c r="N78" s="5">
        <f t="shared" si="10"/>
        <v>0</v>
      </c>
      <c r="O78" s="5">
        <f t="shared" si="10"/>
        <v>0</v>
      </c>
      <c r="P78" s="5">
        <f t="shared" si="10"/>
        <v>24803.453999999998</v>
      </c>
      <c r="Q78" s="5">
        <f t="shared" si="10"/>
        <v>907.5024000000002</v>
      </c>
      <c r="R78" s="5">
        <f t="shared" si="10"/>
        <v>12454.673</v>
      </c>
      <c r="S78" s="5">
        <f t="shared" si="10"/>
        <v>0</v>
      </c>
      <c r="T78" s="5">
        <f t="shared" si="10"/>
        <v>0</v>
      </c>
      <c r="U78" s="5">
        <f t="shared" si="10"/>
        <v>0</v>
      </c>
      <c r="V78" s="5">
        <f t="shared" si="10"/>
        <v>0</v>
      </c>
      <c r="W78" s="5">
        <f t="shared" si="10"/>
        <v>0</v>
      </c>
      <c r="X78" s="5">
        <f t="shared" si="10"/>
        <v>0</v>
      </c>
      <c r="Y78" s="5">
        <f t="shared" si="10"/>
        <v>0</v>
      </c>
      <c r="Z78" s="5">
        <f t="shared" si="10"/>
        <v>0</v>
      </c>
      <c r="AA78" s="5">
        <f t="shared" si="10"/>
        <v>0</v>
      </c>
      <c r="AB78" s="5">
        <f t="shared" si="10"/>
        <v>0</v>
      </c>
      <c r="AC78" s="5">
        <f t="shared" si="10"/>
        <v>0</v>
      </c>
      <c r="AD78" s="5">
        <f t="shared" si="10"/>
        <v>0</v>
      </c>
      <c r="AE78" s="5">
        <f t="shared" si="10"/>
        <v>0</v>
      </c>
      <c r="AF78" s="5">
        <f t="shared" si="10"/>
        <v>0</v>
      </c>
      <c r="AG78" s="5">
        <f t="shared" si="10"/>
        <v>0</v>
      </c>
      <c r="AH78" s="5">
        <f t="shared" si="10"/>
        <v>0</v>
      </c>
      <c r="AI78" s="5">
        <f t="shared" si="10"/>
        <v>0</v>
      </c>
      <c r="AJ78" s="5">
        <f t="shared" si="10"/>
        <v>0</v>
      </c>
      <c r="AK78" s="5">
        <f t="shared" si="10"/>
        <v>1661.5432737</v>
      </c>
      <c r="AL78" s="5">
        <f t="shared" si="10"/>
        <v>2283.326232</v>
      </c>
      <c r="AM78" s="5">
        <f t="shared" si="10"/>
        <v>0</v>
      </c>
      <c r="AN78" s="5">
        <f t="shared" si="10"/>
        <v>0</v>
      </c>
      <c r="AO78" s="5">
        <f t="shared" si="10"/>
        <v>1783.296</v>
      </c>
      <c r="AP78" s="5"/>
      <c r="AQ78" s="5">
        <f t="shared" si="8"/>
        <v>44863.740905700004</v>
      </c>
      <c r="AR78" s="5"/>
      <c r="AS78" s="5"/>
      <c r="AT78" s="5"/>
      <c r="AU78" s="5"/>
      <c r="AV78" s="5"/>
      <c r="AW78" s="74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</row>
    <row r="79" spans="1:76" ht="12.75">
      <c r="A79" s="10" t="s">
        <v>356</v>
      </c>
      <c r="B79" s="260"/>
      <c r="C79" s="5">
        <f>+C74*(C25/100)</f>
        <v>730.5</v>
      </c>
      <c r="D79" s="5">
        <f aca="true" t="shared" si="11" ref="D79:AO79">+D74*(D25/100)</f>
        <v>0</v>
      </c>
      <c r="E79" s="5">
        <f t="shared" si="11"/>
        <v>0</v>
      </c>
      <c r="F79" s="5">
        <f t="shared" si="11"/>
        <v>0</v>
      </c>
      <c r="G79" s="5">
        <f t="shared" si="11"/>
        <v>0</v>
      </c>
      <c r="H79" s="5">
        <f t="shared" si="11"/>
        <v>0</v>
      </c>
      <c r="I79" s="5">
        <f t="shared" si="11"/>
        <v>0</v>
      </c>
      <c r="J79" s="5">
        <f t="shared" si="11"/>
        <v>0</v>
      </c>
      <c r="K79" s="5">
        <f t="shared" si="11"/>
        <v>0</v>
      </c>
      <c r="L79" s="5">
        <f t="shared" si="11"/>
        <v>0</v>
      </c>
      <c r="M79" s="5">
        <f t="shared" si="11"/>
        <v>0</v>
      </c>
      <c r="N79" s="5">
        <f t="shared" si="11"/>
        <v>0</v>
      </c>
      <c r="O79" s="5">
        <f t="shared" si="11"/>
        <v>0</v>
      </c>
      <c r="P79" s="5">
        <f t="shared" si="11"/>
        <v>14236.301999999998</v>
      </c>
      <c r="Q79" s="5">
        <f t="shared" si="11"/>
        <v>2420.0064</v>
      </c>
      <c r="R79" s="5">
        <f t="shared" si="11"/>
        <v>3558.4780000000005</v>
      </c>
      <c r="S79" s="5">
        <f t="shared" si="11"/>
        <v>0</v>
      </c>
      <c r="T79" s="5">
        <f t="shared" si="11"/>
        <v>0</v>
      </c>
      <c r="U79" s="5">
        <f t="shared" si="11"/>
        <v>0</v>
      </c>
      <c r="V79" s="5">
        <f t="shared" si="11"/>
        <v>0</v>
      </c>
      <c r="W79" s="5">
        <f t="shared" si="11"/>
        <v>0</v>
      </c>
      <c r="X79" s="5">
        <f t="shared" si="11"/>
        <v>0</v>
      </c>
      <c r="Y79" s="5">
        <f t="shared" si="11"/>
        <v>0</v>
      </c>
      <c r="Z79" s="5">
        <f t="shared" si="11"/>
        <v>0</v>
      </c>
      <c r="AA79" s="5">
        <f t="shared" si="11"/>
        <v>0</v>
      </c>
      <c r="AB79" s="5">
        <f t="shared" si="11"/>
        <v>0</v>
      </c>
      <c r="AC79" s="5">
        <f t="shared" si="11"/>
        <v>0</v>
      </c>
      <c r="AD79" s="5">
        <f t="shared" si="11"/>
        <v>0</v>
      </c>
      <c r="AE79" s="5">
        <f t="shared" si="11"/>
        <v>0</v>
      </c>
      <c r="AF79" s="5">
        <f t="shared" si="11"/>
        <v>0</v>
      </c>
      <c r="AG79" s="5">
        <f t="shared" si="11"/>
        <v>0</v>
      </c>
      <c r="AH79" s="5">
        <f t="shared" si="11"/>
        <v>0</v>
      </c>
      <c r="AI79" s="5">
        <f t="shared" si="11"/>
        <v>0</v>
      </c>
      <c r="AJ79" s="5">
        <f t="shared" si="11"/>
        <v>988.2689336999999</v>
      </c>
      <c r="AK79" s="5">
        <f t="shared" si="11"/>
        <v>1160.986709</v>
      </c>
      <c r="AL79" s="5">
        <f t="shared" si="11"/>
        <v>0</v>
      </c>
      <c r="AM79" s="5">
        <f t="shared" si="11"/>
        <v>0</v>
      </c>
      <c r="AN79" s="5">
        <f t="shared" si="11"/>
        <v>0</v>
      </c>
      <c r="AO79" s="5">
        <f t="shared" si="11"/>
        <v>743.04</v>
      </c>
      <c r="AP79" s="5"/>
      <c r="AQ79" s="5">
        <f t="shared" si="8"/>
        <v>23837.5820427</v>
      </c>
      <c r="AR79" s="5"/>
      <c r="AS79" s="5"/>
      <c r="AT79" s="5"/>
      <c r="AU79" s="5"/>
      <c r="AV79" s="5"/>
      <c r="AW79" s="7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</row>
    <row r="80" spans="1:76" ht="12.75">
      <c r="A80" s="10" t="s">
        <v>357</v>
      </c>
      <c r="B80" s="260"/>
      <c r="C80" s="5">
        <f>+C74*(C26/100)</f>
        <v>0</v>
      </c>
      <c r="D80" s="5">
        <f aca="true" t="shared" si="12" ref="D80:AO80">+D74*(D26/100)</f>
        <v>0</v>
      </c>
      <c r="E80" s="5">
        <f t="shared" si="12"/>
        <v>0</v>
      </c>
      <c r="F80" s="5">
        <f t="shared" si="12"/>
        <v>0</v>
      </c>
      <c r="G80" s="5">
        <f t="shared" si="12"/>
        <v>0</v>
      </c>
      <c r="H80" s="5">
        <f t="shared" si="12"/>
        <v>0</v>
      </c>
      <c r="I80" s="5">
        <f t="shared" si="12"/>
        <v>0</v>
      </c>
      <c r="J80" s="5">
        <f t="shared" si="12"/>
        <v>0</v>
      </c>
      <c r="K80" s="5">
        <f t="shared" si="12"/>
        <v>0</v>
      </c>
      <c r="L80" s="5">
        <f t="shared" si="12"/>
        <v>0</v>
      </c>
      <c r="M80" s="5">
        <f t="shared" si="12"/>
        <v>0</v>
      </c>
      <c r="N80" s="5">
        <f t="shared" si="12"/>
        <v>0</v>
      </c>
      <c r="O80" s="5">
        <f t="shared" si="12"/>
        <v>0</v>
      </c>
      <c r="P80" s="5">
        <f t="shared" si="12"/>
        <v>4843.278</v>
      </c>
      <c r="Q80" s="5">
        <f t="shared" si="12"/>
        <v>0</v>
      </c>
      <c r="R80" s="5">
        <f t="shared" si="12"/>
        <v>0</v>
      </c>
      <c r="S80" s="5">
        <f t="shared" si="12"/>
        <v>0</v>
      </c>
      <c r="T80" s="5">
        <f t="shared" si="12"/>
        <v>5091.641</v>
      </c>
      <c r="U80" s="5">
        <f t="shared" si="12"/>
        <v>97092.779</v>
      </c>
      <c r="V80" s="5">
        <f t="shared" si="12"/>
        <v>49773.807</v>
      </c>
      <c r="W80" s="5">
        <f t="shared" si="12"/>
        <v>46495.146</v>
      </c>
      <c r="X80" s="5">
        <f t="shared" si="12"/>
        <v>0</v>
      </c>
      <c r="Y80" s="5">
        <f t="shared" si="12"/>
        <v>0</v>
      </c>
      <c r="Z80" s="5">
        <f t="shared" si="12"/>
        <v>0</v>
      </c>
      <c r="AA80" s="5">
        <f t="shared" si="12"/>
        <v>0</v>
      </c>
      <c r="AB80" s="5">
        <f t="shared" si="12"/>
        <v>0</v>
      </c>
      <c r="AC80" s="5">
        <f t="shared" si="12"/>
        <v>0</v>
      </c>
      <c r="AD80" s="5">
        <f t="shared" si="12"/>
        <v>0</v>
      </c>
      <c r="AE80" s="5">
        <f t="shared" si="12"/>
        <v>0</v>
      </c>
      <c r="AF80" s="5">
        <f t="shared" si="12"/>
        <v>0</v>
      </c>
      <c r="AG80" s="5">
        <f t="shared" si="12"/>
        <v>0</v>
      </c>
      <c r="AH80" s="5">
        <f t="shared" si="12"/>
        <v>0</v>
      </c>
      <c r="AI80" s="5">
        <f t="shared" si="12"/>
        <v>0</v>
      </c>
      <c r="AJ80" s="5">
        <f t="shared" si="12"/>
        <v>0</v>
      </c>
      <c r="AK80" s="5">
        <f t="shared" si="12"/>
        <v>0</v>
      </c>
      <c r="AL80" s="5">
        <f t="shared" si="12"/>
        <v>0</v>
      </c>
      <c r="AM80" s="5">
        <f t="shared" si="12"/>
        <v>0</v>
      </c>
      <c r="AN80" s="5">
        <f t="shared" si="12"/>
        <v>0</v>
      </c>
      <c r="AO80" s="5">
        <f t="shared" si="12"/>
        <v>0</v>
      </c>
      <c r="AP80" s="5"/>
      <c r="AQ80" s="5">
        <f t="shared" si="8"/>
        <v>203296.651</v>
      </c>
      <c r="AR80" s="5"/>
      <c r="AS80" s="5"/>
      <c r="AT80" s="5"/>
      <c r="AU80" s="5"/>
      <c r="AV80" s="5"/>
      <c r="AW80" s="7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</row>
    <row r="81" spans="1:76" ht="12.75">
      <c r="A81" s="74" t="s">
        <v>358</v>
      </c>
      <c r="B81" s="260"/>
      <c r="C81" s="8">
        <f aca="true" t="shared" si="13" ref="C81:AP81">SUM(C76:C80)</f>
        <v>9749.74</v>
      </c>
      <c r="D81" s="8">
        <f t="shared" si="13"/>
        <v>3305</v>
      </c>
      <c r="E81" s="8">
        <f t="shared" si="13"/>
        <v>14048.000000000002</v>
      </c>
      <c r="F81" s="8">
        <f t="shared" si="13"/>
        <v>19746</v>
      </c>
      <c r="G81" s="8">
        <f t="shared" si="13"/>
        <v>1894.532</v>
      </c>
      <c r="H81" s="8">
        <f t="shared" si="13"/>
        <v>6927.2</v>
      </c>
      <c r="I81" s="8">
        <f t="shared" si="13"/>
        <v>598</v>
      </c>
      <c r="J81" s="8">
        <f t="shared" si="13"/>
        <v>18</v>
      </c>
      <c r="K81" s="8">
        <f t="shared" si="13"/>
        <v>0</v>
      </c>
      <c r="L81" s="8">
        <f t="shared" si="13"/>
        <v>2381</v>
      </c>
      <c r="M81" s="8">
        <f t="shared" si="13"/>
        <v>11804</v>
      </c>
      <c r="N81" s="8">
        <f t="shared" si="13"/>
        <v>8814</v>
      </c>
      <c r="O81" s="8">
        <f t="shared" si="13"/>
        <v>586</v>
      </c>
      <c r="P81" s="8">
        <f t="shared" si="13"/>
        <v>146766</v>
      </c>
      <c r="Q81" s="8">
        <f t="shared" si="13"/>
        <v>25208.4</v>
      </c>
      <c r="R81" s="8">
        <f t="shared" si="13"/>
        <v>161587.251</v>
      </c>
      <c r="S81" s="8">
        <f t="shared" si="13"/>
        <v>636</v>
      </c>
      <c r="T81" s="8">
        <f t="shared" si="13"/>
        <v>5091.641</v>
      </c>
      <c r="U81" s="8">
        <f t="shared" si="13"/>
        <v>97092.779</v>
      </c>
      <c r="V81" s="8">
        <f t="shared" si="13"/>
        <v>49773.807</v>
      </c>
      <c r="W81" s="8">
        <f t="shared" si="13"/>
        <v>46495.146</v>
      </c>
      <c r="X81" s="8">
        <f t="shared" si="13"/>
        <v>0</v>
      </c>
      <c r="Y81" s="8">
        <f t="shared" si="13"/>
        <v>0</v>
      </c>
      <c r="Z81" s="8">
        <f t="shared" si="13"/>
        <v>34382</v>
      </c>
      <c r="AA81" s="8">
        <f t="shared" si="13"/>
        <v>68</v>
      </c>
      <c r="AB81" s="8">
        <f t="shared" si="13"/>
        <v>0</v>
      </c>
      <c r="AC81" s="8">
        <f t="shared" si="13"/>
        <v>190</v>
      </c>
      <c r="AD81" s="8">
        <f t="shared" si="13"/>
        <v>175</v>
      </c>
      <c r="AE81" s="8">
        <f t="shared" si="13"/>
        <v>0</v>
      </c>
      <c r="AF81" s="8">
        <f t="shared" si="13"/>
        <v>141</v>
      </c>
      <c r="AG81" s="8">
        <f t="shared" si="13"/>
        <v>1290</v>
      </c>
      <c r="AH81" s="8">
        <f t="shared" si="13"/>
        <v>4010.1679999999997</v>
      </c>
      <c r="AI81" s="8">
        <f t="shared" si="13"/>
        <v>0</v>
      </c>
      <c r="AJ81" s="8">
        <f t="shared" si="13"/>
        <v>5350.671</v>
      </c>
      <c r="AK81" s="8">
        <f t="shared" si="13"/>
        <v>19030.6657431</v>
      </c>
      <c r="AL81" s="8">
        <f t="shared" si="13"/>
        <v>69191.70400000001</v>
      </c>
      <c r="AM81" s="8">
        <f t="shared" si="13"/>
        <v>0</v>
      </c>
      <c r="AN81" s="8">
        <f t="shared" si="13"/>
        <v>0</v>
      </c>
      <c r="AO81" s="8">
        <f t="shared" si="13"/>
        <v>37189.152</v>
      </c>
      <c r="AP81" s="8">
        <f t="shared" si="13"/>
        <v>0</v>
      </c>
      <c r="AQ81" s="5">
        <f t="shared" si="8"/>
        <v>783540.8567430999</v>
      </c>
      <c r="AR81" s="5"/>
      <c r="AS81" s="5"/>
      <c r="AT81" s="5"/>
      <c r="AU81" s="5"/>
      <c r="AV81" s="5"/>
      <c r="AW81" s="7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</row>
    <row r="82" spans="1:76" ht="12.75">
      <c r="A82" s="10"/>
      <c r="B82" s="26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5"/>
      <c r="AR82" s="5"/>
      <c r="AS82" s="8"/>
      <c r="AT82" s="8"/>
      <c r="AU82" s="8"/>
      <c r="AV82" s="5"/>
      <c r="AW82" s="7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</row>
    <row r="83" spans="1:76" ht="12.75">
      <c r="A83" s="10"/>
      <c r="B83" s="26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Q83" s="5"/>
      <c r="AR83" s="5"/>
      <c r="AS83" s="8"/>
      <c r="AT83" s="5"/>
      <c r="AU83" s="5"/>
      <c r="AV83" s="8"/>
      <c r="AW83" s="7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</row>
    <row r="84" spans="1:44" ht="12.75">
      <c r="A84" s="14" t="s">
        <v>367</v>
      </c>
      <c r="B84" s="255"/>
      <c r="H84" s="2"/>
      <c r="AF84" s="2"/>
      <c r="AG84" s="2"/>
      <c r="AH84" s="2"/>
      <c r="AQ84" s="5"/>
      <c r="AR84" s="5"/>
    </row>
    <row r="85" spans="1:47" ht="12.75">
      <c r="A85" s="7" t="str">
        <f>+'3.2 Efnah.'!A23</f>
        <v>      Aðrar fjárfestingar    </v>
      </c>
      <c r="B85" s="260"/>
      <c r="C85" s="5">
        <f>+'5.1. Séreignard.'!B87</f>
        <v>2284416</v>
      </c>
      <c r="D85" s="5">
        <f>+'5.1. Séreignard.'!C87</f>
        <v>627065</v>
      </c>
      <c r="E85" s="5">
        <f>+'5.1. Séreignard.'!D87</f>
        <v>277878</v>
      </c>
      <c r="F85" s="5">
        <f>+'5.1. Séreignard.'!E87</f>
        <v>2876385</v>
      </c>
      <c r="G85" s="5">
        <f>+'5.1. Séreignard.'!F87</f>
        <v>279348</v>
      </c>
      <c r="H85" s="5">
        <f>+'5.1. Séreignard.'!G87</f>
        <v>715491</v>
      </c>
      <c r="I85" s="5">
        <f>+'5.1. Séreignard.'!H87</f>
        <v>152023</v>
      </c>
      <c r="J85" s="5">
        <f>+'5.1. Séreignard.'!I87</f>
        <v>11936</v>
      </c>
      <c r="K85" s="5">
        <f>+'5.1. Séreignard.'!J87</f>
        <v>22393</v>
      </c>
      <c r="L85" s="5">
        <f>+'5.1. Séreignard.'!K87</f>
        <v>231372</v>
      </c>
      <c r="M85" s="5">
        <f>+'5.1. Séreignard.'!L87</f>
        <v>1393743</v>
      </c>
      <c r="N85" s="5">
        <f>+'5.1. Séreignard.'!M87</f>
        <v>283814</v>
      </c>
      <c r="O85" s="5">
        <f>+'5.1. Séreignard.'!N87</f>
        <v>878871</v>
      </c>
      <c r="P85" s="5">
        <f>+'5.1. Séreignard.'!O87</f>
        <v>24775583</v>
      </c>
      <c r="Q85" s="5">
        <f>+'5.1. Séreignard.'!P87</f>
        <v>1860760</v>
      </c>
      <c r="R85" s="5">
        <f>+'5.1. Séreignard.'!Q87</f>
        <v>3753678</v>
      </c>
      <c r="S85" s="5">
        <f>+'5.1. Séreignard.'!R87</f>
        <v>198103</v>
      </c>
      <c r="T85" s="5">
        <f>+'5.1. Séreignard.'!S87</f>
        <v>5057830.059579999</v>
      </c>
      <c r="U85" s="5">
        <f>+'5.1. Séreignard.'!T87</f>
        <v>18679190.54778</v>
      </c>
      <c r="V85" s="5">
        <f>+'5.1. Séreignard.'!U87</f>
        <v>1631580.94856</v>
      </c>
      <c r="W85" s="5">
        <f>+'5.1. Séreignard.'!V87</f>
        <v>935578.804</v>
      </c>
      <c r="X85" s="5">
        <f>+'5.1. Séreignard.'!W87</f>
        <v>142733</v>
      </c>
      <c r="Y85" s="5">
        <f>+'5.1. Séreignard.'!X87</f>
        <v>386947</v>
      </c>
      <c r="Z85" s="5">
        <f>+'5.1. Séreignard.'!Y87</f>
        <v>1284201</v>
      </c>
      <c r="AA85" s="5">
        <f>+'5.1. Séreignard.'!Z87</f>
        <v>59974</v>
      </c>
      <c r="AB85" s="5">
        <f>+'5.1. Séreignard.'!AA87</f>
        <v>168256.73</v>
      </c>
      <c r="AC85" s="5">
        <f>+'5.1. Séreignard.'!AB87</f>
        <v>670621</v>
      </c>
      <c r="AD85" s="5">
        <f>+'5.1. Séreignard.'!AC87</f>
        <v>24367</v>
      </c>
      <c r="AE85" s="5">
        <f>+'5.1. Séreignard.'!AD87</f>
        <v>66813</v>
      </c>
      <c r="AF85" s="5">
        <f>+'5.1. Séreignard.'!AE87</f>
        <v>301587.273</v>
      </c>
      <c r="AG85" s="5">
        <f>+'5.1. Séreignard.'!AF87</f>
        <v>47106</v>
      </c>
      <c r="AH85" s="5">
        <f>+'5.1. Séreignard.'!AG87</f>
        <v>31235.537</v>
      </c>
      <c r="AI85" s="5">
        <f>+'5.1. Séreignard.'!AH87</f>
        <v>59502</v>
      </c>
      <c r="AJ85" s="5">
        <f>+'5.1. Séreignard.'!AI87</f>
        <v>3307351.184</v>
      </c>
      <c r="AK85" s="5">
        <f>+'5.1. Séreignard.'!AJ87</f>
        <v>4607452.218</v>
      </c>
      <c r="AL85" s="5">
        <f>+'5.1. Séreignard.'!AK87</f>
        <v>1175533.6109999998</v>
      </c>
      <c r="AM85" s="5">
        <f>+'5.1. Séreignard.'!AL87</f>
        <v>159688.712</v>
      </c>
      <c r="AN85" s="5">
        <f>+'5.1. Séreignard.'!AM87</f>
        <v>13303</v>
      </c>
      <c r="AO85" s="5">
        <f>+'5.1. Séreignard.'!AN87</f>
        <v>1560359</v>
      </c>
      <c r="AP85" s="5">
        <f>+'5.1. Séreignard.'!AO87</f>
        <v>0</v>
      </c>
      <c r="AQ85" s="5">
        <f t="shared" si="8"/>
        <v>80994070.62492</v>
      </c>
      <c r="AR85" s="5"/>
      <c r="AS85" s="5"/>
      <c r="AT85" s="5"/>
      <c r="AU85" s="5"/>
    </row>
    <row r="86" spans="1:162" ht="12.75">
      <c r="A86" s="7"/>
      <c r="B86" s="26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>
        <f t="shared" si="8"/>
        <v>0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</row>
    <row r="87" spans="1:162" ht="12.75">
      <c r="A87" s="7" t="str">
        <f aca="true" t="shared" si="14" ref="A87:A93">+A10</f>
        <v>Skráð verðbréf með br. tekjum (%)</v>
      </c>
      <c r="B87" s="260"/>
      <c r="C87" s="5">
        <f>+C10*C85/100</f>
        <v>2151919.872</v>
      </c>
      <c r="D87" s="5">
        <f aca="true" t="shared" si="15" ref="D87:AO87">+D10*D85/100</f>
        <v>570629.15</v>
      </c>
      <c r="E87" s="5">
        <f t="shared" si="15"/>
        <v>0</v>
      </c>
      <c r="F87" s="5">
        <f t="shared" si="15"/>
        <v>1176441.465</v>
      </c>
      <c r="G87" s="5">
        <f t="shared" si="15"/>
        <v>79334.832</v>
      </c>
      <c r="H87" s="5">
        <f t="shared" si="15"/>
        <v>130934.853</v>
      </c>
      <c r="I87" s="5">
        <f t="shared" si="15"/>
        <v>145638.034</v>
      </c>
      <c r="J87" s="5">
        <f t="shared" si="15"/>
        <v>11936</v>
      </c>
      <c r="K87" s="5">
        <f t="shared" si="15"/>
        <v>0</v>
      </c>
      <c r="L87" s="5">
        <f t="shared" si="15"/>
        <v>95788.00799999999</v>
      </c>
      <c r="M87" s="5">
        <f t="shared" si="15"/>
        <v>0</v>
      </c>
      <c r="N87" s="5">
        <f t="shared" si="15"/>
        <v>63858.15</v>
      </c>
      <c r="O87" s="5">
        <f t="shared" si="15"/>
        <v>404280.66</v>
      </c>
      <c r="P87" s="5">
        <f t="shared" si="15"/>
        <v>10133213.446999999</v>
      </c>
      <c r="Q87" s="5">
        <f t="shared" si="15"/>
        <v>762911.6</v>
      </c>
      <c r="R87" s="5">
        <f t="shared" si="15"/>
        <v>0</v>
      </c>
      <c r="S87" s="5">
        <f t="shared" si="15"/>
        <v>55548.0812</v>
      </c>
      <c r="T87" s="5">
        <f t="shared" si="15"/>
        <v>3596117.1723613795</v>
      </c>
      <c r="U87" s="5">
        <f t="shared" si="15"/>
        <v>15634482.48849186</v>
      </c>
      <c r="V87" s="5">
        <f t="shared" si="15"/>
        <v>1395001.7110187998</v>
      </c>
      <c r="W87" s="5">
        <f t="shared" si="15"/>
        <v>0</v>
      </c>
      <c r="X87" s="5">
        <f t="shared" si="15"/>
        <v>51098.414</v>
      </c>
      <c r="Y87" s="5">
        <f t="shared" si="15"/>
        <v>0</v>
      </c>
      <c r="Z87" s="5">
        <f t="shared" si="15"/>
        <v>403239.114</v>
      </c>
      <c r="AA87" s="5">
        <f t="shared" si="15"/>
        <v>59974</v>
      </c>
      <c r="AB87" s="5">
        <f t="shared" si="15"/>
        <v>118620.99465</v>
      </c>
      <c r="AC87" s="5">
        <f t="shared" si="15"/>
        <v>443682.8536</v>
      </c>
      <c r="AD87" s="5">
        <f t="shared" si="15"/>
        <v>6871.494000000001</v>
      </c>
      <c r="AE87" s="5">
        <f t="shared" si="15"/>
        <v>34742.76</v>
      </c>
      <c r="AF87" s="5">
        <f t="shared" si="15"/>
        <v>241269.8184</v>
      </c>
      <c r="AG87" s="5">
        <f t="shared" si="15"/>
        <v>46682.045999999995</v>
      </c>
      <c r="AH87" s="5">
        <f t="shared" si="15"/>
        <v>0</v>
      </c>
      <c r="AI87" s="5">
        <f t="shared" si="15"/>
        <v>19159.644</v>
      </c>
      <c r="AJ87" s="5">
        <f t="shared" si="15"/>
        <v>3118832.166512</v>
      </c>
      <c r="AK87" s="5">
        <f t="shared" si="15"/>
        <v>4436515.7407122</v>
      </c>
      <c r="AL87" s="5">
        <f t="shared" si="15"/>
        <v>1129805.3535320999</v>
      </c>
      <c r="AM87" s="5">
        <f t="shared" si="15"/>
        <v>0</v>
      </c>
      <c r="AN87" s="5">
        <f t="shared" si="15"/>
        <v>3472.0830000000005</v>
      </c>
      <c r="AO87" s="5">
        <f t="shared" si="15"/>
        <v>1393400.5869999998</v>
      </c>
      <c r="AP87" s="5">
        <f>+AP85*AP10/100</f>
        <v>0</v>
      </c>
      <c r="AQ87" s="5">
        <f t="shared" si="8"/>
        <v>47915402.59347833</v>
      </c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</row>
    <row r="88" spans="1:162" ht="12.75">
      <c r="A88" s="7" t="str">
        <f t="shared" si="14"/>
        <v>Skráð verðbréf með föst. tekjum (%)</v>
      </c>
      <c r="B88" s="260"/>
      <c r="C88" s="5">
        <f>+C11*C85/100</f>
        <v>132496.128</v>
      </c>
      <c r="D88" s="5">
        <f aca="true" t="shared" si="16" ref="D88:AO88">+D11*D85/100</f>
        <v>56435.85</v>
      </c>
      <c r="E88" s="5">
        <f t="shared" si="16"/>
        <v>0</v>
      </c>
      <c r="F88" s="5">
        <f t="shared" si="16"/>
        <v>1038374.985</v>
      </c>
      <c r="G88" s="5">
        <f t="shared" si="16"/>
        <v>200013.16799999998</v>
      </c>
      <c r="H88" s="5">
        <f t="shared" si="16"/>
        <v>584556.147</v>
      </c>
      <c r="I88" s="5">
        <f t="shared" si="16"/>
        <v>6384.965999999999</v>
      </c>
      <c r="J88" s="5">
        <f t="shared" si="16"/>
        <v>0</v>
      </c>
      <c r="K88" s="5">
        <f t="shared" si="16"/>
        <v>0</v>
      </c>
      <c r="L88" s="5">
        <f t="shared" si="16"/>
        <v>82368.432</v>
      </c>
      <c r="M88" s="5">
        <f t="shared" si="16"/>
        <v>765164.907</v>
      </c>
      <c r="N88" s="5">
        <f t="shared" si="16"/>
        <v>219955.85</v>
      </c>
      <c r="O88" s="5">
        <f t="shared" si="16"/>
        <v>474590.34</v>
      </c>
      <c r="P88" s="5">
        <f t="shared" si="16"/>
        <v>12263913.585</v>
      </c>
      <c r="Q88" s="5">
        <f t="shared" si="16"/>
        <v>965734.44</v>
      </c>
      <c r="R88" s="5">
        <f t="shared" si="16"/>
        <v>0</v>
      </c>
      <c r="S88" s="5">
        <f t="shared" si="16"/>
        <v>142436.057</v>
      </c>
      <c r="T88" s="5">
        <f t="shared" si="16"/>
        <v>1178474.4038821398</v>
      </c>
      <c r="U88" s="5">
        <f t="shared" si="16"/>
        <v>1550372.81546574</v>
      </c>
      <c r="V88" s="5">
        <f t="shared" si="16"/>
        <v>117473.82829631999</v>
      </c>
      <c r="W88" s="5">
        <f t="shared" si="16"/>
        <v>0</v>
      </c>
      <c r="X88" s="5">
        <f t="shared" si="16"/>
        <v>29973.93</v>
      </c>
      <c r="Y88" s="5">
        <f t="shared" si="16"/>
        <v>105636.531</v>
      </c>
      <c r="Z88" s="5">
        <f t="shared" si="16"/>
        <v>647237.304</v>
      </c>
      <c r="AA88" s="5">
        <f t="shared" si="16"/>
        <v>0</v>
      </c>
      <c r="AB88" s="5">
        <f t="shared" si="16"/>
        <v>49635.73535</v>
      </c>
      <c r="AC88" s="5">
        <f t="shared" si="16"/>
        <v>224389.7866</v>
      </c>
      <c r="AD88" s="5">
        <f t="shared" si="16"/>
        <v>17495.505999999998</v>
      </c>
      <c r="AE88" s="5">
        <f t="shared" si="16"/>
        <v>32070.24</v>
      </c>
      <c r="AF88" s="5">
        <f t="shared" si="16"/>
        <v>56999.994597</v>
      </c>
      <c r="AG88" s="5">
        <f t="shared" si="16"/>
        <v>0</v>
      </c>
      <c r="AH88" s="5">
        <f t="shared" si="16"/>
        <v>0</v>
      </c>
      <c r="AI88" s="5">
        <f t="shared" si="16"/>
        <v>40342.356</v>
      </c>
      <c r="AJ88" s="5">
        <f t="shared" si="16"/>
        <v>159414.3270688</v>
      </c>
      <c r="AK88" s="5">
        <f t="shared" si="16"/>
        <v>109657.3627884</v>
      </c>
      <c r="AL88" s="5">
        <f t="shared" si="16"/>
        <v>21042.0516369</v>
      </c>
      <c r="AM88" s="5">
        <f t="shared" si="16"/>
        <v>0</v>
      </c>
      <c r="AN88" s="5">
        <f t="shared" si="16"/>
        <v>9830.917000000001</v>
      </c>
      <c r="AO88" s="5">
        <f t="shared" si="16"/>
        <v>61166.0728</v>
      </c>
      <c r="AP88" s="5">
        <f>+AP11*AP85/100</f>
        <v>0</v>
      </c>
      <c r="AQ88" s="5">
        <f t="shared" si="8"/>
        <v>21343638.0174853</v>
      </c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</row>
    <row r="89" spans="1:162" ht="12.75">
      <c r="A89" s="7" t="str">
        <f t="shared" si="14"/>
        <v>Óskráð verðbréf með br. tekjum (%)</v>
      </c>
      <c r="B89" s="260"/>
      <c r="C89" s="5">
        <f>+C12*C85/100</f>
        <v>0</v>
      </c>
      <c r="D89" s="5">
        <f aca="true" t="shared" si="17" ref="D89:AO89">+D12*D85/100</f>
        <v>0</v>
      </c>
      <c r="E89" s="5">
        <f t="shared" si="17"/>
        <v>0</v>
      </c>
      <c r="F89" s="5">
        <f t="shared" si="17"/>
        <v>0</v>
      </c>
      <c r="G89" s="5">
        <f t="shared" si="17"/>
        <v>0</v>
      </c>
      <c r="H89" s="5">
        <f t="shared" si="17"/>
        <v>0</v>
      </c>
      <c r="I89" s="5">
        <f t="shared" si="17"/>
        <v>0</v>
      </c>
      <c r="J89" s="5">
        <f t="shared" si="17"/>
        <v>0</v>
      </c>
      <c r="K89" s="5">
        <f t="shared" si="17"/>
        <v>0</v>
      </c>
      <c r="L89" s="5">
        <f t="shared" si="17"/>
        <v>0</v>
      </c>
      <c r="M89" s="5">
        <f t="shared" si="17"/>
        <v>0</v>
      </c>
      <c r="N89" s="5">
        <f t="shared" si="17"/>
        <v>0</v>
      </c>
      <c r="O89" s="5">
        <f t="shared" si="17"/>
        <v>0</v>
      </c>
      <c r="P89" s="5">
        <f t="shared" si="17"/>
        <v>1833393.1420000002</v>
      </c>
      <c r="Q89" s="5">
        <f t="shared" si="17"/>
        <v>113506.36</v>
      </c>
      <c r="R89" s="5">
        <f t="shared" si="17"/>
        <v>0</v>
      </c>
      <c r="S89" s="5">
        <f t="shared" si="17"/>
        <v>0</v>
      </c>
      <c r="T89" s="5">
        <f t="shared" si="17"/>
        <v>0</v>
      </c>
      <c r="U89" s="5">
        <f t="shared" si="17"/>
        <v>0</v>
      </c>
      <c r="V89" s="5">
        <f t="shared" si="17"/>
        <v>27736.876125519997</v>
      </c>
      <c r="W89" s="5">
        <f t="shared" si="17"/>
        <v>0</v>
      </c>
      <c r="X89" s="5">
        <f t="shared" si="17"/>
        <v>0</v>
      </c>
      <c r="Y89" s="5">
        <f t="shared" si="17"/>
        <v>0</v>
      </c>
      <c r="Z89" s="5">
        <f t="shared" si="17"/>
        <v>44947.035</v>
      </c>
      <c r="AA89" s="5">
        <f t="shared" si="17"/>
        <v>0</v>
      </c>
      <c r="AB89" s="5">
        <f t="shared" si="17"/>
        <v>0</v>
      </c>
      <c r="AC89" s="5">
        <f t="shared" si="17"/>
        <v>0</v>
      </c>
      <c r="AD89" s="5">
        <f t="shared" si="17"/>
        <v>0</v>
      </c>
      <c r="AE89" s="5">
        <f t="shared" si="17"/>
        <v>0</v>
      </c>
      <c r="AF89" s="5">
        <f t="shared" si="17"/>
        <v>3317.460003</v>
      </c>
      <c r="AG89" s="5">
        <f t="shared" si="17"/>
        <v>423.954</v>
      </c>
      <c r="AH89" s="5">
        <f t="shared" si="17"/>
        <v>0</v>
      </c>
      <c r="AI89" s="5">
        <f t="shared" si="17"/>
        <v>0</v>
      </c>
      <c r="AJ89" s="5">
        <f t="shared" si="17"/>
        <v>29104.690419199997</v>
      </c>
      <c r="AK89" s="5">
        <f t="shared" si="17"/>
        <v>43310.0508492</v>
      </c>
      <c r="AL89" s="5">
        <f t="shared" si="17"/>
        <v>0</v>
      </c>
      <c r="AM89" s="5">
        <f t="shared" si="17"/>
        <v>0</v>
      </c>
      <c r="AN89" s="5">
        <f t="shared" si="17"/>
        <v>0</v>
      </c>
      <c r="AO89" s="5">
        <f t="shared" si="17"/>
        <v>39165.0109</v>
      </c>
      <c r="AP89" s="5">
        <f>+AP85*AP12/100</f>
        <v>0</v>
      </c>
      <c r="AQ89" s="5">
        <f t="shared" si="8"/>
        <v>2134904.5792969204</v>
      </c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</row>
    <row r="90" spans="1:162" ht="12.75">
      <c r="A90" s="7" t="str">
        <f t="shared" si="14"/>
        <v>Óskráð verðbréf með föst. tekjum (%)</v>
      </c>
      <c r="B90" s="260"/>
      <c r="C90" s="5">
        <f>+C13*C85/100</f>
        <v>0</v>
      </c>
      <c r="D90" s="5">
        <f aca="true" t="shared" si="18" ref="D90:AO90">+D13*D85/100</f>
        <v>0</v>
      </c>
      <c r="E90" s="5">
        <f t="shared" si="18"/>
        <v>0</v>
      </c>
      <c r="F90" s="5">
        <f t="shared" si="18"/>
        <v>192717.795</v>
      </c>
      <c r="G90" s="5">
        <f t="shared" si="18"/>
        <v>0</v>
      </c>
      <c r="H90" s="5">
        <f t="shared" si="18"/>
        <v>0</v>
      </c>
      <c r="I90" s="5">
        <f t="shared" si="18"/>
        <v>0</v>
      </c>
      <c r="J90" s="5">
        <f t="shared" si="18"/>
        <v>0</v>
      </c>
      <c r="K90" s="5">
        <f t="shared" si="18"/>
        <v>0</v>
      </c>
      <c r="L90" s="5">
        <f t="shared" si="18"/>
        <v>0</v>
      </c>
      <c r="M90" s="5">
        <f t="shared" si="18"/>
        <v>0</v>
      </c>
      <c r="N90" s="5">
        <f t="shared" si="18"/>
        <v>0</v>
      </c>
      <c r="O90" s="5">
        <f t="shared" si="18"/>
        <v>0</v>
      </c>
      <c r="P90" s="5">
        <f t="shared" si="18"/>
        <v>495511.66</v>
      </c>
      <c r="Q90" s="5">
        <f t="shared" si="18"/>
        <v>16746.84</v>
      </c>
      <c r="R90" s="5">
        <f t="shared" si="18"/>
        <v>0</v>
      </c>
      <c r="S90" s="5">
        <f t="shared" si="18"/>
        <v>0</v>
      </c>
      <c r="T90" s="5">
        <f t="shared" si="18"/>
        <v>70809.62083411998</v>
      </c>
      <c r="U90" s="5">
        <f t="shared" si="18"/>
        <v>373583.8109556</v>
      </c>
      <c r="V90" s="5">
        <f t="shared" si="18"/>
        <v>0</v>
      </c>
      <c r="W90" s="5">
        <f t="shared" si="18"/>
        <v>0</v>
      </c>
      <c r="X90" s="5">
        <f t="shared" si="18"/>
        <v>0</v>
      </c>
      <c r="Y90" s="5">
        <f t="shared" si="18"/>
        <v>23216.82</v>
      </c>
      <c r="Z90" s="5">
        <f t="shared" si="18"/>
        <v>33389.226</v>
      </c>
      <c r="AA90" s="5">
        <f t="shared" si="18"/>
        <v>0</v>
      </c>
      <c r="AB90" s="5">
        <f t="shared" si="18"/>
        <v>0</v>
      </c>
      <c r="AC90" s="5">
        <f t="shared" si="18"/>
        <v>0</v>
      </c>
      <c r="AD90" s="5">
        <f t="shared" si="18"/>
        <v>0</v>
      </c>
      <c r="AE90" s="5">
        <f t="shared" si="18"/>
        <v>0</v>
      </c>
      <c r="AF90" s="5">
        <f t="shared" si="18"/>
        <v>0</v>
      </c>
      <c r="AG90" s="5">
        <f t="shared" si="18"/>
        <v>0</v>
      </c>
      <c r="AH90" s="5">
        <f t="shared" si="18"/>
        <v>0</v>
      </c>
      <c r="AI90" s="5">
        <f t="shared" si="18"/>
        <v>0</v>
      </c>
      <c r="AJ90" s="5">
        <f t="shared" si="18"/>
        <v>0</v>
      </c>
      <c r="AK90" s="5">
        <f t="shared" si="18"/>
        <v>17969.0636502</v>
      </c>
      <c r="AL90" s="5">
        <f t="shared" si="18"/>
        <v>24686.205830999996</v>
      </c>
      <c r="AM90" s="5">
        <f t="shared" si="18"/>
        <v>0</v>
      </c>
      <c r="AN90" s="5">
        <f t="shared" si="18"/>
        <v>0</v>
      </c>
      <c r="AO90" s="5">
        <f t="shared" si="18"/>
        <v>1872.4307999999999</v>
      </c>
      <c r="AP90" s="5">
        <f>+AP85*AP13/100</f>
        <v>0</v>
      </c>
      <c r="AQ90" s="5">
        <f t="shared" si="8"/>
        <v>1250503.4730709197</v>
      </c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</row>
    <row r="91" spans="1:162" ht="12.75">
      <c r="A91" s="7" t="str">
        <f t="shared" si="14"/>
        <v>Veðlán (%)</v>
      </c>
      <c r="B91" s="260"/>
      <c r="C91" s="5">
        <f>+C14*C85/100</f>
        <v>0</v>
      </c>
      <c r="D91" s="5">
        <f aca="true" t="shared" si="19" ref="D91:AO91">+D14*D85/100</f>
        <v>0</v>
      </c>
      <c r="E91" s="5">
        <f t="shared" si="19"/>
        <v>0</v>
      </c>
      <c r="F91" s="5">
        <f t="shared" si="19"/>
        <v>468850.755</v>
      </c>
      <c r="G91" s="5">
        <f t="shared" si="19"/>
        <v>0</v>
      </c>
      <c r="H91" s="5">
        <f t="shared" si="19"/>
        <v>0</v>
      </c>
      <c r="I91" s="5">
        <f t="shared" si="19"/>
        <v>0</v>
      </c>
      <c r="J91" s="5">
        <f t="shared" si="19"/>
        <v>0</v>
      </c>
      <c r="K91" s="5">
        <f t="shared" si="19"/>
        <v>0</v>
      </c>
      <c r="L91" s="5">
        <f t="shared" si="19"/>
        <v>53215.56</v>
      </c>
      <c r="M91" s="5">
        <f t="shared" si="19"/>
        <v>628578.093</v>
      </c>
      <c r="N91" s="5">
        <f t="shared" si="19"/>
        <v>0</v>
      </c>
      <c r="O91" s="5">
        <f t="shared" si="19"/>
        <v>0</v>
      </c>
      <c r="P91" s="5">
        <f t="shared" si="19"/>
        <v>74326.749</v>
      </c>
      <c r="Q91" s="5">
        <f t="shared" si="19"/>
        <v>0</v>
      </c>
      <c r="R91" s="5">
        <f t="shared" si="19"/>
        <v>0</v>
      </c>
      <c r="S91" s="5">
        <f t="shared" si="19"/>
        <v>0</v>
      </c>
      <c r="T91" s="5">
        <f t="shared" si="19"/>
        <v>212428.86250235996</v>
      </c>
      <c r="U91" s="5">
        <f t="shared" si="19"/>
        <v>1120751.4328667999</v>
      </c>
      <c r="V91" s="5">
        <f t="shared" si="19"/>
        <v>91368.53311935998</v>
      </c>
      <c r="W91" s="5">
        <f t="shared" si="19"/>
        <v>0</v>
      </c>
      <c r="X91" s="5">
        <f t="shared" si="19"/>
        <v>61089.723999999995</v>
      </c>
      <c r="Y91" s="5">
        <f t="shared" si="19"/>
        <v>258093.64900000003</v>
      </c>
      <c r="Z91" s="5">
        <f t="shared" si="19"/>
        <v>141262.11</v>
      </c>
      <c r="AA91" s="5">
        <f t="shared" si="19"/>
        <v>0</v>
      </c>
      <c r="AB91" s="5">
        <f t="shared" si="19"/>
        <v>0</v>
      </c>
      <c r="AC91" s="5">
        <f t="shared" si="19"/>
        <v>0</v>
      </c>
      <c r="AD91" s="5">
        <f t="shared" si="19"/>
        <v>0</v>
      </c>
      <c r="AE91" s="5">
        <f t="shared" si="19"/>
        <v>0</v>
      </c>
      <c r="AF91" s="5">
        <f t="shared" si="19"/>
        <v>0</v>
      </c>
      <c r="AG91" s="5">
        <f t="shared" si="19"/>
        <v>0</v>
      </c>
      <c r="AH91" s="5">
        <f t="shared" si="19"/>
        <v>0</v>
      </c>
      <c r="AI91" s="5">
        <f t="shared" si="19"/>
        <v>0</v>
      </c>
      <c r="AJ91" s="5">
        <f t="shared" si="19"/>
        <v>0</v>
      </c>
      <c r="AK91" s="5">
        <f t="shared" si="19"/>
        <v>0</v>
      </c>
      <c r="AL91" s="5">
        <f t="shared" si="19"/>
        <v>0</v>
      </c>
      <c r="AM91" s="5">
        <f t="shared" si="19"/>
        <v>0</v>
      </c>
      <c r="AN91" s="5">
        <f t="shared" si="19"/>
        <v>0</v>
      </c>
      <c r="AO91" s="5">
        <f t="shared" si="19"/>
        <v>64754.8985</v>
      </c>
      <c r="AP91" s="5">
        <f>+AP85*AP14/100</f>
        <v>0</v>
      </c>
      <c r="AQ91" s="5">
        <f t="shared" si="8"/>
        <v>3174720.36698852</v>
      </c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</row>
    <row r="92" spans="1:162" ht="12.75">
      <c r="A92" s="7" t="str">
        <f t="shared" si="14"/>
        <v>Annað (%)</v>
      </c>
      <c r="B92" s="260"/>
      <c r="C92" s="5">
        <f>+C15*C85/100</f>
        <v>0</v>
      </c>
      <c r="D92" s="5">
        <f aca="true" t="shared" si="20" ref="D92:AO92">+D15*D85/100</f>
        <v>0</v>
      </c>
      <c r="E92" s="5">
        <f t="shared" si="20"/>
        <v>277878</v>
      </c>
      <c r="F92" s="5">
        <f t="shared" si="20"/>
        <v>0</v>
      </c>
      <c r="G92" s="5">
        <f t="shared" si="20"/>
        <v>0</v>
      </c>
      <c r="H92" s="5">
        <f t="shared" si="20"/>
        <v>0</v>
      </c>
      <c r="I92" s="5">
        <f t="shared" si="20"/>
        <v>0</v>
      </c>
      <c r="J92" s="5">
        <f t="shared" si="20"/>
        <v>0</v>
      </c>
      <c r="K92" s="5">
        <f t="shared" si="20"/>
        <v>22393</v>
      </c>
      <c r="L92" s="5">
        <f t="shared" si="20"/>
        <v>0</v>
      </c>
      <c r="M92" s="5">
        <f t="shared" si="20"/>
        <v>0</v>
      </c>
      <c r="N92" s="5">
        <f t="shared" si="20"/>
        <v>0</v>
      </c>
      <c r="O92" s="5">
        <f t="shared" si="20"/>
        <v>0</v>
      </c>
      <c r="P92" s="5">
        <f t="shared" si="20"/>
        <v>0</v>
      </c>
      <c r="Q92" s="5">
        <f t="shared" si="20"/>
        <v>0</v>
      </c>
      <c r="R92" s="5">
        <f t="shared" si="20"/>
        <v>3753678</v>
      </c>
      <c r="S92" s="5">
        <f t="shared" si="20"/>
        <v>0</v>
      </c>
      <c r="T92" s="5">
        <f t="shared" si="20"/>
        <v>0</v>
      </c>
      <c r="U92" s="5">
        <f t="shared" si="20"/>
        <v>0</v>
      </c>
      <c r="V92" s="5">
        <f t="shared" si="20"/>
        <v>0</v>
      </c>
      <c r="W92" s="5">
        <f t="shared" si="20"/>
        <v>935578.804</v>
      </c>
      <c r="X92" s="5">
        <f t="shared" si="20"/>
        <v>0</v>
      </c>
      <c r="Y92" s="5">
        <f t="shared" si="20"/>
        <v>0</v>
      </c>
      <c r="Z92" s="5">
        <f t="shared" si="20"/>
        <v>14126.211000000001</v>
      </c>
      <c r="AA92" s="5">
        <f t="shared" si="20"/>
        <v>0</v>
      </c>
      <c r="AB92" s="5">
        <f t="shared" si="20"/>
        <v>0</v>
      </c>
      <c r="AC92" s="5">
        <f t="shared" si="20"/>
        <v>2548.3598</v>
      </c>
      <c r="AD92" s="5">
        <f t="shared" si="20"/>
        <v>0</v>
      </c>
      <c r="AE92" s="5">
        <f t="shared" si="20"/>
        <v>0</v>
      </c>
      <c r="AF92" s="5">
        <f t="shared" si="20"/>
        <v>0</v>
      </c>
      <c r="AG92" s="5">
        <f t="shared" si="20"/>
        <v>0</v>
      </c>
      <c r="AH92" s="5">
        <f t="shared" si="20"/>
        <v>31235.537</v>
      </c>
      <c r="AI92" s="5">
        <f t="shared" si="20"/>
        <v>0</v>
      </c>
      <c r="AJ92" s="5">
        <f t="shared" si="20"/>
        <v>0</v>
      </c>
      <c r="AK92" s="5">
        <f t="shared" si="20"/>
        <v>0</v>
      </c>
      <c r="AL92" s="5">
        <f t="shared" si="20"/>
        <v>0</v>
      </c>
      <c r="AM92" s="5">
        <f t="shared" si="20"/>
        <v>159688.712</v>
      </c>
      <c r="AN92" s="5">
        <f t="shared" si="20"/>
        <v>0</v>
      </c>
      <c r="AO92" s="5">
        <f t="shared" si="20"/>
        <v>0</v>
      </c>
      <c r="AP92" s="5">
        <f>+AP85*AP26/100</f>
        <v>0</v>
      </c>
      <c r="AQ92" s="5">
        <f t="shared" si="8"/>
        <v>5197126.623799999</v>
      </c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</row>
    <row r="93" spans="1:48" ht="12.75">
      <c r="A93" s="7" t="str">
        <f t="shared" si="14"/>
        <v>          Samtals:                                       </v>
      </c>
      <c r="B93" s="260"/>
      <c r="C93" s="5">
        <f aca="true" t="shared" si="21" ref="C93:AP93">SUM(C87:C92)</f>
        <v>2284416</v>
      </c>
      <c r="D93" s="5">
        <f t="shared" si="21"/>
        <v>627065</v>
      </c>
      <c r="E93" s="5">
        <f t="shared" si="21"/>
        <v>277878</v>
      </c>
      <c r="F93" s="5">
        <f t="shared" si="21"/>
        <v>2876385</v>
      </c>
      <c r="G93" s="5">
        <f t="shared" si="21"/>
        <v>279348</v>
      </c>
      <c r="H93" s="5">
        <f t="shared" si="21"/>
        <v>715491</v>
      </c>
      <c r="I93" s="5">
        <f t="shared" si="21"/>
        <v>152023</v>
      </c>
      <c r="J93" s="5">
        <f t="shared" si="21"/>
        <v>11936</v>
      </c>
      <c r="K93" s="5">
        <f t="shared" si="21"/>
        <v>22393</v>
      </c>
      <c r="L93" s="5">
        <f t="shared" si="21"/>
        <v>231372</v>
      </c>
      <c r="M93" s="5">
        <f t="shared" si="21"/>
        <v>1393743</v>
      </c>
      <c r="N93" s="5">
        <f t="shared" si="21"/>
        <v>283814</v>
      </c>
      <c r="O93" s="5">
        <f t="shared" si="21"/>
        <v>878871</v>
      </c>
      <c r="P93" s="5">
        <f t="shared" si="21"/>
        <v>24800358.583</v>
      </c>
      <c r="Q93" s="5">
        <f t="shared" si="21"/>
        <v>1858899.2400000002</v>
      </c>
      <c r="R93" s="5">
        <f t="shared" si="21"/>
        <v>3753678</v>
      </c>
      <c r="S93" s="5">
        <f t="shared" si="21"/>
        <v>197984.1382</v>
      </c>
      <c r="T93" s="5">
        <f t="shared" si="21"/>
        <v>5057830.059579999</v>
      </c>
      <c r="U93" s="5">
        <f t="shared" si="21"/>
        <v>18679190.54778</v>
      </c>
      <c r="V93" s="5">
        <f t="shared" si="21"/>
        <v>1631580.94856</v>
      </c>
      <c r="W93" s="5">
        <f t="shared" si="21"/>
        <v>935578.804</v>
      </c>
      <c r="X93" s="5">
        <f t="shared" si="21"/>
        <v>142162.068</v>
      </c>
      <c r="Y93" s="5">
        <f t="shared" si="21"/>
        <v>386947</v>
      </c>
      <c r="Z93" s="5">
        <f t="shared" si="21"/>
        <v>1284200.9999999998</v>
      </c>
      <c r="AA93" s="5">
        <f t="shared" si="21"/>
        <v>59974</v>
      </c>
      <c r="AB93" s="5">
        <f t="shared" si="21"/>
        <v>168256.72999999998</v>
      </c>
      <c r="AC93" s="5">
        <f t="shared" si="21"/>
        <v>670621</v>
      </c>
      <c r="AD93" s="5">
        <f t="shared" si="21"/>
        <v>24367</v>
      </c>
      <c r="AE93" s="5">
        <f t="shared" si="21"/>
        <v>66813</v>
      </c>
      <c r="AF93" s="5">
        <f t="shared" si="21"/>
        <v>301587.273</v>
      </c>
      <c r="AG93" s="5">
        <f t="shared" si="21"/>
        <v>47105.99999999999</v>
      </c>
      <c r="AH93" s="5">
        <f t="shared" si="21"/>
        <v>31235.537</v>
      </c>
      <c r="AI93" s="5">
        <f t="shared" si="21"/>
        <v>59502</v>
      </c>
      <c r="AJ93" s="5">
        <f t="shared" si="21"/>
        <v>3307351.184</v>
      </c>
      <c r="AK93" s="5">
        <f t="shared" si="21"/>
        <v>4607452.218</v>
      </c>
      <c r="AL93" s="5">
        <f t="shared" si="21"/>
        <v>1175533.6109999998</v>
      </c>
      <c r="AM93" s="5">
        <f t="shared" si="21"/>
        <v>159688.712</v>
      </c>
      <c r="AN93" s="5">
        <f t="shared" si="21"/>
        <v>13303.000000000002</v>
      </c>
      <c r="AO93" s="5">
        <f t="shared" si="21"/>
        <v>1560358.9999999998</v>
      </c>
      <c r="AP93" s="5">
        <f t="shared" si="21"/>
        <v>0</v>
      </c>
      <c r="AQ93" s="5">
        <f t="shared" si="8"/>
        <v>81016295.65412001</v>
      </c>
      <c r="AR93" s="5"/>
      <c r="AT93" s="5"/>
      <c r="AU93" s="5"/>
      <c r="AV93" s="5"/>
    </row>
    <row r="94" spans="3:47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3:47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"/>
      <c r="AR95" s="5"/>
      <c r="AS95" s="53"/>
      <c r="AT95" s="53"/>
      <c r="AU95" s="53"/>
    </row>
    <row r="96" spans="3:47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"/>
      <c r="AR96" s="5"/>
      <c r="AS96" s="53"/>
      <c r="AT96" s="53"/>
      <c r="AU96" s="53"/>
    </row>
    <row r="97" spans="1:47" ht="12.75">
      <c r="A97" s="14" t="s">
        <v>368</v>
      </c>
      <c r="B97" s="255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"/>
      <c r="AR97" s="5"/>
      <c r="AS97" s="53"/>
      <c r="AT97" s="53"/>
      <c r="AU97" s="53"/>
    </row>
    <row r="98" spans="1:47" ht="12.75">
      <c r="A98" s="7" t="str">
        <f>+A17</f>
        <v>Eignir í ísl. kr. (%)</v>
      </c>
      <c r="B98" s="260"/>
      <c r="C98" s="5">
        <f>+C85*C17/100</f>
        <v>1610513.28</v>
      </c>
      <c r="D98" s="5">
        <f aca="true" t="shared" si="22" ref="D98:AO98">+D85*D17/100</f>
        <v>522345.145</v>
      </c>
      <c r="E98" s="5">
        <f t="shared" si="22"/>
        <v>277878</v>
      </c>
      <c r="F98" s="5">
        <f t="shared" si="22"/>
        <v>2142906.825</v>
      </c>
      <c r="G98" s="5">
        <f t="shared" si="22"/>
        <v>248619.72</v>
      </c>
      <c r="H98" s="5">
        <f t="shared" si="22"/>
        <v>641079.936</v>
      </c>
      <c r="I98" s="5">
        <f t="shared" si="22"/>
        <v>101855.41</v>
      </c>
      <c r="J98" s="5">
        <f t="shared" si="22"/>
        <v>10623.04</v>
      </c>
      <c r="K98" s="5">
        <f t="shared" si="22"/>
        <v>22393</v>
      </c>
      <c r="L98" s="5">
        <f t="shared" si="22"/>
        <v>57843</v>
      </c>
      <c r="M98" s="5">
        <f t="shared" si="22"/>
        <v>1393743</v>
      </c>
      <c r="N98" s="5">
        <f t="shared" si="22"/>
        <v>244080.04</v>
      </c>
      <c r="O98" s="5">
        <f t="shared" si="22"/>
        <v>711885.51</v>
      </c>
      <c r="P98" s="5">
        <f t="shared" si="22"/>
        <v>16079353.367</v>
      </c>
      <c r="Q98" s="5">
        <f t="shared" si="22"/>
        <v>1656076.4</v>
      </c>
      <c r="R98" s="5">
        <f t="shared" si="22"/>
        <v>3753678</v>
      </c>
      <c r="S98" s="5">
        <f t="shared" si="22"/>
        <v>157689.98799999998</v>
      </c>
      <c r="T98" s="5">
        <f t="shared" si="22"/>
        <v>2933541.4345563995</v>
      </c>
      <c r="U98" s="5">
        <f t="shared" si="22"/>
        <v>12533736.85756038</v>
      </c>
      <c r="V98" s="5">
        <f t="shared" si="22"/>
        <v>1375422.7396360799</v>
      </c>
      <c r="W98" s="5">
        <f t="shared" si="22"/>
        <v>935578.804</v>
      </c>
      <c r="X98" s="5">
        <f t="shared" si="22"/>
        <v>93632.84799999998</v>
      </c>
      <c r="Y98" s="5">
        <f t="shared" si="22"/>
        <v>386947</v>
      </c>
      <c r="Z98" s="5">
        <f t="shared" si="22"/>
        <v>1151928.297</v>
      </c>
      <c r="AA98" s="5">
        <f t="shared" si="22"/>
        <v>40722.346000000005</v>
      </c>
      <c r="AB98" s="5">
        <f t="shared" si="22"/>
        <v>156815.27236</v>
      </c>
      <c r="AC98" s="5">
        <f t="shared" si="22"/>
        <v>670621</v>
      </c>
      <c r="AD98" s="5">
        <f t="shared" si="22"/>
        <v>20760.684</v>
      </c>
      <c r="AE98" s="5">
        <f t="shared" si="22"/>
        <v>44163.393</v>
      </c>
      <c r="AF98" s="5">
        <f t="shared" si="22"/>
        <v>199952.361999</v>
      </c>
      <c r="AG98" s="5">
        <f t="shared" si="22"/>
        <v>41547.492</v>
      </c>
      <c r="AH98" s="5">
        <f t="shared" si="22"/>
        <v>31235.537</v>
      </c>
      <c r="AI98" s="5">
        <f t="shared" si="22"/>
        <v>44745.504</v>
      </c>
      <c r="AJ98" s="5">
        <f t="shared" si="22"/>
        <v>2296955.397288</v>
      </c>
      <c r="AK98" s="5">
        <f t="shared" si="22"/>
        <v>3650945.1375432</v>
      </c>
      <c r="AL98" s="5">
        <f t="shared" si="22"/>
        <v>1074202.6137317996</v>
      </c>
      <c r="AM98" s="5">
        <f t="shared" si="22"/>
        <v>159688.712</v>
      </c>
      <c r="AN98" s="5">
        <f t="shared" si="22"/>
        <v>10908.46</v>
      </c>
      <c r="AO98" s="5">
        <f t="shared" si="22"/>
        <v>1330986.227</v>
      </c>
      <c r="AP98" s="5"/>
      <c r="AQ98" s="5">
        <f t="shared" si="8"/>
        <v>58817601.77967485</v>
      </c>
      <c r="AR98" s="5"/>
      <c r="AS98" s="5"/>
      <c r="AT98" s="5"/>
      <c r="AU98" s="5"/>
    </row>
    <row r="99" spans="1:47" ht="12.75">
      <c r="A99" s="7" t="str">
        <f>+A18</f>
        <v>Eignir í erl. gjaldmiðlum (%)</v>
      </c>
      <c r="B99" s="260"/>
      <c r="C99" s="5">
        <f>+C85*C18/100</f>
        <v>673902.72</v>
      </c>
      <c r="D99" s="5">
        <f aca="true" t="shared" si="23" ref="D99:AO99">+D85*D18/100</f>
        <v>104719.855</v>
      </c>
      <c r="E99" s="5">
        <f t="shared" si="23"/>
        <v>0</v>
      </c>
      <c r="F99" s="5">
        <f t="shared" si="23"/>
        <v>733478.175</v>
      </c>
      <c r="G99" s="5">
        <f t="shared" si="23"/>
        <v>30728.28</v>
      </c>
      <c r="H99" s="5">
        <f t="shared" si="23"/>
        <v>74411.064</v>
      </c>
      <c r="I99" s="5">
        <f t="shared" si="23"/>
        <v>50167.59</v>
      </c>
      <c r="J99" s="5">
        <f t="shared" si="23"/>
        <v>1312.96</v>
      </c>
      <c r="K99" s="5">
        <f t="shared" si="23"/>
        <v>0</v>
      </c>
      <c r="L99" s="5">
        <f t="shared" si="23"/>
        <v>173529</v>
      </c>
      <c r="M99" s="5">
        <f t="shared" si="23"/>
        <v>0</v>
      </c>
      <c r="N99" s="5">
        <f t="shared" si="23"/>
        <v>39733.96</v>
      </c>
      <c r="O99" s="5">
        <f t="shared" si="23"/>
        <v>166985.49</v>
      </c>
      <c r="P99" s="5">
        <f t="shared" si="23"/>
        <v>8696229.633000001</v>
      </c>
      <c r="Q99" s="5">
        <f t="shared" si="23"/>
        <v>204683.6</v>
      </c>
      <c r="R99" s="5">
        <f t="shared" si="23"/>
        <v>0</v>
      </c>
      <c r="S99" s="5">
        <f t="shared" si="23"/>
        <v>40413.011999999995</v>
      </c>
      <c r="T99" s="5">
        <f t="shared" si="23"/>
        <v>2124288.6250235997</v>
      </c>
      <c r="U99" s="5">
        <f t="shared" si="23"/>
        <v>6145453.690219619</v>
      </c>
      <c r="V99" s="5">
        <f t="shared" si="23"/>
        <v>256158.20892391997</v>
      </c>
      <c r="W99" s="5">
        <f t="shared" si="23"/>
        <v>0</v>
      </c>
      <c r="X99" s="5">
        <f t="shared" si="23"/>
        <v>49100.152</v>
      </c>
      <c r="Y99" s="5">
        <f t="shared" si="23"/>
        <v>0</v>
      </c>
      <c r="Z99" s="5">
        <f t="shared" si="23"/>
        <v>132272.703</v>
      </c>
      <c r="AA99" s="5">
        <f t="shared" si="23"/>
        <v>19251.654000000002</v>
      </c>
      <c r="AB99" s="5">
        <f t="shared" si="23"/>
        <v>11441.45764</v>
      </c>
      <c r="AC99" s="5">
        <f t="shared" si="23"/>
        <v>0</v>
      </c>
      <c r="AD99" s="5">
        <f t="shared" si="23"/>
        <v>3606.3160000000003</v>
      </c>
      <c r="AE99" s="5">
        <f t="shared" si="23"/>
        <v>22649.606999999996</v>
      </c>
      <c r="AF99" s="5">
        <f t="shared" si="23"/>
        <v>101634.91100100001</v>
      </c>
      <c r="AG99" s="5">
        <f t="shared" si="23"/>
        <v>5558.508000000001</v>
      </c>
      <c r="AH99" s="5">
        <f t="shared" si="23"/>
        <v>0</v>
      </c>
      <c r="AI99" s="5">
        <f t="shared" si="23"/>
        <v>14756.496000000001</v>
      </c>
      <c r="AJ99" s="5">
        <f t="shared" si="23"/>
        <v>1010395.7867119999</v>
      </c>
      <c r="AK99" s="5">
        <f t="shared" si="23"/>
        <v>956507.0804568002</v>
      </c>
      <c r="AL99" s="5">
        <f t="shared" si="23"/>
        <v>101330.99726819998</v>
      </c>
      <c r="AM99" s="5">
        <f t="shared" si="23"/>
        <v>0</v>
      </c>
      <c r="AN99" s="5">
        <f t="shared" si="23"/>
        <v>2394.54</v>
      </c>
      <c r="AO99" s="5">
        <f t="shared" si="23"/>
        <v>229372.77300000002</v>
      </c>
      <c r="AP99" s="5"/>
      <c r="AQ99" s="5">
        <f t="shared" si="8"/>
        <v>22176468.845245138</v>
      </c>
      <c r="AR99" s="5"/>
      <c r="AS99" s="5"/>
      <c r="AT99" s="5"/>
      <c r="AU99" s="5"/>
    </row>
    <row r="100" spans="1:47" ht="12.75">
      <c r="A100" s="7" t="str">
        <f>+A19</f>
        <v>          Samtals:                                      </v>
      </c>
      <c r="B100" s="260"/>
      <c r="C100" s="5">
        <f aca="true" t="shared" si="24" ref="C100:AO100">SUM(C98:C99)</f>
        <v>2284416</v>
      </c>
      <c r="D100" s="5">
        <f t="shared" si="24"/>
        <v>627065</v>
      </c>
      <c r="E100" s="5">
        <f t="shared" si="24"/>
        <v>277878</v>
      </c>
      <c r="F100" s="5">
        <f t="shared" si="24"/>
        <v>2876385</v>
      </c>
      <c r="G100" s="5">
        <f t="shared" si="24"/>
        <v>279348</v>
      </c>
      <c r="H100" s="5">
        <f t="shared" si="24"/>
        <v>715491</v>
      </c>
      <c r="I100" s="5">
        <f t="shared" si="24"/>
        <v>152023</v>
      </c>
      <c r="J100" s="5">
        <f t="shared" si="24"/>
        <v>11936</v>
      </c>
      <c r="K100" s="5">
        <f t="shared" si="24"/>
        <v>22393</v>
      </c>
      <c r="L100" s="5">
        <f t="shared" si="24"/>
        <v>231372</v>
      </c>
      <c r="M100" s="5">
        <f t="shared" si="24"/>
        <v>1393743</v>
      </c>
      <c r="N100" s="5">
        <f t="shared" si="24"/>
        <v>283814</v>
      </c>
      <c r="O100" s="5">
        <f t="shared" si="24"/>
        <v>878871</v>
      </c>
      <c r="P100" s="5">
        <f t="shared" si="24"/>
        <v>24775583</v>
      </c>
      <c r="Q100" s="5">
        <f t="shared" si="24"/>
        <v>1860760</v>
      </c>
      <c r="R100" s="5">
        <f t="shared" si="24"/>
        <v>3753678</v>
      </c>
      <c r="S100" s="5">
        <f t="shared" si="24"/>
        <v>198102.99999999997</v>
      </c>
      <c r="T100" s="5">
        <f t="shared" si="24"/>
        <v>5057830.059579999</v>
      </c>
      <c r="U100" s="5">
        <f t="shared" si="24"/>
        <v>18679190.54778</v>
      </c>
      <c r="V100" s="5">
        <f t="shared" si="24"/>
        <v>1631580.94856</v>
      </c>
      <c r="W100" s="5">
        <f t="shared" si="24"/>
        <v>935578.804</v>
      </c>
      <c r="X100" s="5">
        <f t="shared" si="24"/>
        <v>142733</v>
      </c>
      <c r="Y100" s="5">
        <f t="shared" si="24"/>
        <v>386947</v>
      </c>
      <c r="Z100" s="5">
        <f t="shared" si="24"/>
        <v>1284201</v>
      </c>
      <c r="AA100" s="5">
        <f t="shared" si="24"/>
        <v>59974.00000000001</v>
      </c>
      <c r="AB100" s="5">
        <f t="shared" si="24"/>
        <v>168256.73</v>
      </c>
      <c r="AC100" s="5">
        <f t="shared" si="24"/>
        <v>670621</v>
      </c>
      <c r="AD100" s="5">
        <f t="shared" si="24"/>
        <v>24367</v>
      </c>
      <c r="AE100" s="5">
        <f t="shared" si="24"/>
        <v>66813</v>
      </c>
      <c r="AF100" s="5">
        <f t="shared" si="24"/>
        <v>301587.273</v>
      </c>
      <c r="AG100" s="5">
        <f t="shared" si="24"/>
        <v>47106</v>
      </c>
      <c r="AH100" s="5">
        <f t="shared" si="24"/>
        <v>31235.537</v>
      </c>
      <c r="AI100" s="5">
        <f t="shared" si="24"/>
        <v>59502</v>
      </c>
      <c r="AJ100" s="5">
        <f t="shared" si="24"/>
        <v>3307351.1840000004</v>
      </c>
      <c r="AK100" s="5">
        <f t="shared" si="24"/>
        <v>4607452.218</v>
      </c>
      <c r="AL100" s="5">
        <f t="shared" si="24"/>
        <v>1175533.6109999996</v>
      </c>
      <c r="AM100" s="5">
        <f t="shared" si="24"/>
        <v>159688.712</v>
      </c>
      <c r="AN100" s="5">
        <f t="shared" si="24"/>
        <v>13303</v>
      </c>
      <c r="AO100" s="5">
        <f t="shared" si="24"/>
        <v>1560359</v>
      </c>
      <c r="AP100" s="5"/>
      <c r="AQ100" s="5">
        <f t="shared" si="8"/>
        <v>80994070.62492</v>
      </c>
      <c r="AR100" s="5"/>
      <c r="AS100" s="5"/>
      <c r="AT100" s="5"/>
      <c r="AU100" s="5"/>
    </row>
    <row r="101" spans="3:47" ht="12.75">
      <c r="C101" s="5"/>
      <c r="D101" s="5"/>
      <c r="E101" s="5"/>
      <c r="F101" s="5"/>
      <c r="G101" s="5"/>
      <c r="H101" s="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7"/>
      <c r="AA101" s="5"/>
      <c r="AB101" s="5"/>
      <c r="AC101" s="5"/>
      <c r="AD101" s="5"/>
      <c r="AE101" s="5"/>
      <c r="AF101" s="7"/>
      <c r="AG101" s="7"/>
      <c r="AH101" s="7"/>
      <c r="AI101" s="5"/>
      <c r="AJ101" s="5"/>
      <c r="AK101" s="5"/>
      <c r="AL101" s="5"/>
      <c r="AM101" s="5"/>
      <c r="AN101" s="7"/>
      <c r="AO101" s="5"/>
      <c r="AP101" s="5"/>
      <c r="AQ101" s="5"/>
      <c r="AR101" s="5"/>
      <c r="AS101" s="5"/>
      <c r="AT101" s="5"/>
      <c r="AU101" s="5"/>
    </row>
  </sheetData>
  <sheetProtection/>
  <mergeCells count="53">
    <mergeCell ref="C4:E4"/>
    <mergeCell ref="G9:H9"/>
    <mergeCell ref="I32:K32"/>
    <mergeCell ref="AF2:AH2"/>
    <mergeCell ref="G4:H4"/>
    <mergeCell ref="I4:K4"/>
    <mergeCell ref="L4:M4"/>
    <mergeCell ref="X3:Y3"/>
    <mergeCell ref="AD2:AE2"/>
    <mergeCell ref="P32:R32"/>
    <mergeCell ref="C1:E1"/>
    <mergeCell ref="G1:H1"/>
    <mergeCell ref="I1:K1"/>
    <mergeCell ref="C2:E2"/>
    <mergeCell ref="G2:H2"/>
    <mergeCell ref="I2:K2"/>
    <mergeCell ref="L2:M2"/>
    <mergeCell ref="N2:O2"/>
    <mergeCell ref="P2:R2"/>
    <mergeCell ref="X2:Y2"/>
    <mergeCell ref="T2:W2"/>
    <mergeCell ref="T1:W1"/>
    <mergeCell ref="N1:O1"/>
    <mergeCell ref="L1:M1"/>
    <mergeCell ref="P1:R1"/>
    <mergeCell ref="X1:Y1"/>
    <mergeCell ref="AD4:AE4"/>
    <mergeCell ref="AJ3:AM3"/>
    <mergeCell ref="AF3:AH3"/>
    <mergeCell ref="AJ1:AM1"/>
    <mergeCell ref="AF1:AH1"/>
    <mergeCell ref="AJ2:AM2"/>
    <mergeCell ref="AD1:AE1"/>
    <mergeCell ref="X32:Y32"/>
    <mergeCell ref="AJ4:AM4"/>
    <mergeCell ref="AF4:AH4"/>
    <mergeCell ref="N4:O4"/>
    <mergeCell ref="P4:R4"/>
    <mergeCell ref="P3:R3"/>
    <mergeCell ref="AD3:AE3"/>
    <mergeCell ref="X4:Y4"/>
    <mergeCell ref="T3:W3"/>
    <mergeCell ref="T4:W4"/>
    <mergeCell ref="D33:E33"/>
    <mergeCell ref="G31:H31"/>
    <mergeCell ref="L31:M31"/>
    <mergeCell ref="AJ31:AM31"/>
    <mergeCell ref="N31:O31"/>
    <mergeCell ref="J31:K31"/>
    <mergeCell ref="C32:E32"/>
    <mergeCell ref="D31:E31"/>
    <mergeCell ref="AG31:AH31"/>
    <mergeCell ref="T32:W32"/>
  </mergeCells>
  <printOptions/>
  <pageMargins left="0.4724409448818898" right="0.2362204724409449" top="1.1811023622047245" bottom="0.2755905511811024" header="0.5118110236220472" footer="0.1968503937007874"/>
  <pageSetup firstPageNumber="61" useFirstPageNumber="1" horizontalDpi="600" verticalDpi="600" orientation="portrait" paperSize="9" r:id="rId1"/>
  <headerFooter alignWithMargins="0">
    <oddHeader>&amp;C&amp;"Times New Roman,Bold"&amp;14 5.2 KENNITÖLUR SÉREIGNADEILDA ÁRIÐ 2004</oddHeader>
    <oddFooter>&amp;R&amp;"Times New Roman,Regular"&amp;P</oddFooter>
  </headerFooter>
  <colBreaks count="4" manualBreakCount="4">
    <brk id="8" max="65535" man="1"/>
    <brk id="13" max="65535" man="1"/>
    <brk id="18" max="65535" man="1"/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G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96" customWidth="1"/>
    <col min="2" max="2" width="33.00390625" style="196" customWidth="1"/>
    <col min="3" max="3" width="8.7109375" style="196" customWidth="1"/>
    <col min="4" max="14" width="8.7109375" style="187" customWidth="1"/>
    <col min="15" max="23" width="11.8515625" style="187" customWidth="1"/>
    <col min="24" max="24" width="8.421875" style="187" customWidth="1"/>
    <col min="25" max="25" width="9.7109375" style="187" customWidth="1"/>
    <col min="26" max="27" width="10.421875" style="187" customWidth="1"/>
    <col min="28" max="28" width="9.57421875" style="187" customWidth="1"/>
    <col min="29" max="29" width="8.8515625" style="187" customWidth="1"/>
    <col min="30" max="30" width="9.57421875" style="187" customWidth="1"/>
    <col min="31" max="33" width="10.421875" style="187" customWidth="1"/>
    <col min="34" max="42" width="11.140625" style="187" customWidth="1"/>
    <col min="43" max="46" width="9.7109375" style="187" customWidth="1"/>
    <col min="47" max="53" width="8.7109375" style="187" customWidth="1"/>
    <col min="54" max="54" width="11.57421875" style="187" customWidth="1"/>
    <col min="55" max="61" width="10.421875" style="187" customWidth="1"/>
    <col min="62" max="62" width="14.00390625" style="187" customWidth="1"/>
    <col min="63" max="63" width="10.421875" style="187" customWidth="1"/>
    <col min="64" max="64" width="9.8515625" style="187" customWidth="1"/>
    <col min="65" max="65" width="10.421875" style="187" customWidth="1"/>
    <col min="66" max="66" width="9.8515625" style="187" customWidth="1"/>
    <col min="67" max="74" width="10.421875" style="187" customWidth="1"/>
    <col min="75" max="75" width="14.140625" style="187" customWidth="1"/>
    <col min="76" max="76" width="9.140625" style="187" customWidth="1"/>
    <col min="77" max="77" width="9.7109375" style="187" customWidth="1"/>
    <col min="78" max="79" width="9.140625" style="187" customWidth="1"/>
    <col min="80" max="80" width="8.00390625" style="187" customWidth="1"/>
    <col min="81" max="81" width="13.28125" style="187" customWidth="1"/>
    <col min="82" max="82" width="9.140625" style="187" customWidth="1"/>
    <col min="83" max="83" width="11.57421875" style="187" customWidth="1"/>
    <col min="84" max="84" width="9.140625" style="187" customWidth="1"/>
    <col min="85" max="85" width="9.57421875" style="187" bestFit="1" customWidth="1"/>
    <col min="86" max="16384" width="9.140625" style="187" customWidth="1"/>
  </cols>
  <sheetData>
    <row r="1" spans="1:81" ht="12.75" customHeight="1">
      <c r="A1" s="185"/>
      <c r="B1" s="185"/>
      <c r="C1" s="371" t="s">
        <v>69</v>
      </c>
      <c r="D1" s="371"/>
      <c r="E1" s="371"/>
      <c r="F1" s="371"/>
      <c r="G1" s="371"/>
      <c r="H1" s="186" t="s">
        <v>69</v>
      </c>
      <c r="I1" s="371" t="s">
        <v>69</v>
      </c>
      <c r="J1" s="371"/>
      <c r="K1" s="371" t="s">
        <v>69</v>
      </c>
      <c r="L1" s="371"/>
      <c r="M1" s="371"/>
      <c r="N1" s="371"/>
      <c r="O1" s="371" t="s">
        <v>70</v>
      </c>
      <c r="P1" s="371"/>
      <c r="Q1" s="186" t="s">
        <v>69</v>
      </c>
      <c r="R1" s="371" t="s">
        <v>73</v>
      </c>
      <c r="S1" s="371"/>
      <c r="T1" s="371"/>
      <c r="U1" s="371"/>
      <c r="V1" s="371" t="s">
        <v>71</v>
      </c>
      <c r="W1" s="371"/>
      <c r="X1" s="371" t="s">
        <v>481</v>
      </c>
      <c r="Y1" s="371"/>
      <c r="Z1" s="371"/>
      <c r="AA1" s="371"/>
      <c r="AB1" s="371"/>
      <c r="AC1" s="371" t="s">
        <v>69</v>
      </c>
      <c r="AD1" s="371"/>
      <c r="AE1" s="371" t="s">
        <v>69</v>
      </c>
      <c r="AF1" s="371"/>
      <c r="AG1" s="186" t="s">
        <v>72</v>
      </c>
      <c r="AH1" s="186" t="s">
        <v>69</v>
      </c>
      <c r="AI1" s="371" t="s">
        <v>69</v>
      </c>
      <c r="AJ1" s="371"/>
      <c r="AK1" s="186" t="s">
        <v>69</v>
      </c>
      <c r="AL1" s="186" t="s">
        <v>69</v>
      </c>
      <c r="AM1" s="186" t="s">
        <v>69</v>
      </c>
      <c r="AN1" s="186" t="s">
        <v>69</v>
      </c>
      <c r="AO1" s="186" t="s">
        <v>69</v>
      </c>
      <c r="AP1" s="186" t="s">
        <v>69</v>
      </c>
      <c r="AQ1" s="371" t="s">
        <v>69</v>
      </c>
      <c r="AR1" s="371"/>
      <c r="AS1" s="371"/>
      <c r="AT1" s="371"/>
      <c r="AU1" s="186" t="s">
        <v>69</v>
      </c>
      <c r="AV1" s="186" t="s">
        <v>69</v>
      </c>
      <c r="AW1" s="371" t="s">
        <v>76</v>
      </c>
      <c r="AX1" s="371"/>
      <c r="AY1" s="371"/>
      <c r="AZ1" s="371"/>
      <c r="BA1" s="371"/>
      <c r="BB1" s="186" t="s">
        <v>74</v>
      </c>
      <c r="BC1" s="186" t="s">
        <v>69</v>
      </c>
      <c r="BD1" s="186" t="s">
        <v>69</v>
      </c>
      <c r="BE1" s="186" t="s">
        <v>77</v>
      </c>
      <c r="BF1" s="371" t="s">
        <v>69</v>
      </c>
      <c r="BG1" s="371" t="s">
        <v>69</v>
      </c>
      <c r="BH1" s="371" t="s">
        <v>69</v>
      </c>
      <c r="BI1" s="371"/>
      <c r="BJ1" s="186" t="s">
        <v>69</v>
      </c>
      <c r="BK1" s="186" t="s">
        <v>69</v>
      </c>
      <c r="BL1" s="186" t="s">
        <v>69</v>
      </c>
      <c r="BM1" s="186" t="s">
        <v>69</v>
      </c>
      <c r="BN1" s="186" t="s">
        <v>77</v>
      </c>
      <c r="BO1" s="186" t="s">
        <v>69</v>
      </c>
      <c r="BP1" s="186" t="s">
        <v>69</v>
      </c>
      <c r="BQ1" s="186" t="s">
        <v>69</v>
      </c>
      <c r="BR1" s="186" t="s">
        <v>77</v>
      </c>
      <c r="BS1" s="186" t="s">
        <v>77</v>
      </c>
      <c r="BT1" s="186" t="s">
        <v>77</v>
      </c>
      <c r="BU1" s="186" t="s">
        <v>69</v>
      </c>
      <c r="BV1" s="186" t="s">
        <v>75</v>
      </c>
      <c r="BW1" s="186" t="s">
        <v>69</v>
      </c>
      <c r="BX1" s="186" t="s">
        <v>69</v>
      </c>
      <c r="BY1" s="186" t="s">
        <v>77</v>
      </c>
      <c r="BZ1" s="186" t="s">
        <v>69</v>
      </c>
      <c r="CA1" s="186" t="s">
        <v>69</v>
      </c>
      <c r="CC1" s="273" t="s">
        <v>504</v>
      </c>
    </row>
    <row r="2" spans="1:81" ht="12.75">
      <c r="A2" s="185"/>
      <c r="B2" s="185" t="s">
        <v>309</v>
      </c>
      <c r="C2" s="371" t="s">
        <v>376</v>
      </c>
      <c r="D2" s="371"/>
      <c r="E2" s="371"/>
      <c r="F2" s="371"/>
      <c r="G2" s="371"/>
      <c r="H2" s="186" t="s">
        <v>80</v>
      </c>
      <c r="I2" s="371" t="s">
        <v>82</v>
      </c>
      <c r="J2" s="371"/>
      <c r="K2" s="371" t="s">
        <v>84</v>
      </c>
      <c r="L2" s="371"/>
      <c r="M2" s="371"/>
      <c r="N2" s="371"/>
      <c r="O2" s="371" t="s">
        <v>83</v>
      </c>
      <c r="P2" s="371"/>
      <c r="Q2" s="186" t="s">
        <v>85</v>
      </c>
      <c r="R2" s="371" t="s">
        <v>83</v>
      </c>
      <c r="S2" s="371"/>
      <c r="T2" s="371"/>
      <c r="U2" s="371"/>
      <c r="V2" s="371" t="s">
        <v>83</v>
      </c>
      <c r="W2" s="371"/>
      <c r="X2" s="371" t="s">
        <v>95</v>
      </c>
      <c r="Y2" s="371"/>
      <c r="Z2" s="371"/>
      <c r="AA2" s="371"/>
      <c r="AB2" s="371"/>
      <c r="AC2" s="371" t="s">
        <v>87</v>
      </c>
      <c r="AD2" s="371"/>
      <c r="AE2" s="371" t="s">
        <v>86</v>
      </c>
      <c r="AF2" s="371" t="s">
        <v>86</v>
      </c>
      <c r="AG2" s="186" t="s">
        <v>83</v>
      </c>
      <c r="AH2" s="186" t="s">
        <v>90</v>
      </c>
      <c r="AI2" s="371" t="s">
        <v>88</v>
      </c>
      <c r="AJ2" s="371"/>
      <c r="AK2" s="186" t="s">
        <v>89</v>
      </c>
      <c r="AL2" s="186" t="s">
        <v>93</v>
      </c>
      <c r="AM2" s="186" t="s">
        <v>96</v>
      </c>
      <c r="AN2" s="186" t="s">
        <v>92</v>
      </c>
      <c r="AO2" s="186" t="s">
        <v>94</v>
      </c>
      <c r="AP2" s="186" t="s">
        <v>91</v>
      </c>
      <c r="AQ2" s="371" t="s">
        <v>100</v>
      </c>
      <c r="AR2" s="371"/>
      <c r="AS2" s="371"/>
      <c r="AT2" s="371"/>
      <c r="AU2" s="186" t="s">
        <v>97</v>
      </c>
      <c r="AV2" s="186" t="s">
        <v>100</v>
      </c>
      <c r="AW2" s="371" t="s">
        <v>83</v>
      </c>
      <c r="AX2" s="371"/>
      <c r="AY2" s="371"/>
      <c r="AZ2" s="371"/>
      <c r="BA2" s="371"/>
      <c r="BB2" s="186" t="s">
        <v>98</v>
      </c>
      <c r="BC2" s="186" t="s">
        <v>100</v>
      </c>
      <c r="BD2" s="186" t="s">
        <v>101</v>
      </c>
      <c r="BE2" s="186" t="s">
        <v>100</v>
      </c>
      <c r="BF2" s="371" t="s">
        <v>102</v>
      </c>
      <c r="BG2" s="371" t="s">
        <v>102</v>
      </c>
      <c r="BH2" s="371" t="s">
        <v>105</v>
      </c>
      <c r="BI2" s="371"/>
      <c r="BJ2" s="186" t="s">
        <v>104</v>
      </c>
      <c r="BK2" s="186" t="s">
        <v>103</v>
      </c>
      <c r="BL2" s="186" t="s">
        <v>109</v>
      </c>
      <c r="BM2" s="186" t="s">
        <v>106</v>
      </c>
      <c r="BN2" s="186" t="s">
        <v>107</v>
      </c>
      <c r="BO2" s="186" t="s">
        <v>108</v>
      </c>
      <c r="BP2" s="186" t="s">
        <v>110</v>
      </c>
      <c r="BQ2" s="186" t="s">
        <v>111</v>
      </c>
      <c r="BR2" s="186" t="s">
        <v>113</v>
      </c>
      <c r="BS2" s="186" t="s">
        <v>112</v>
      </c>
      <c r="BT2" s="186" t="s">
        <v>114</v>
      </c>
      <c r="BU2" s="186" t="s">
        <v>100</v>
      </c>
      <c r="BV2" s="186" t="s">
        <v>99</v>
      </c>
      <c r="BW2" s="186" t="s">
        <v>395</v>
      </c>
      <c r="BX2" s="186" t="s">
        <v>115</v>
      </c>
      <c r="BY2" s="186" t="s">
        <v>116</v>
      </c>
      <c r="BZ2" s="186" t="s">
        <v>118</v>
      </c>
      <c r="CA2" s="186" t="s">
        <v>117</v>
      </c>
      <c r="CC2" s="273" t="s">
        <v>505</v>
      </c>
    </row>
    <row r="3" spans="1:79" ht="12.75">
      <c r="A3" s="189"/>
      <c r="B3" s="185"/>
      <c r="C3" s="185"/>
      <c r="D3" s="190" t="s">
        <v>375</v>
      </c>
      <c r="E3" s="186"/>
      <c r="F3" s="191"/>
      <c r="G3" s="191"/>
      <c r="H3" s="186" t="s">
        <v>125</v>
      </c>
      <c r="I3" s="191"/>
      <c r="K3" s="191"/>
      <c r="L3" s="186"/>
      <c r="M3" s="186"/>
      <c r="N3" s="191"/>
      <c r="O3" s="371" t="s">
        <v>99</v>
      </c>
      <c r="P3" s="371"/>
      <c r="Q3" s="186" t="s">
        <v>377</v>
      </c>
      <c r="R3" s="371" t="s">
        <v>99</v>
      </c>
      <c r="S3" s="371"/>
      <c r="T3" s="371"/>
      <c r="U3" s="371"/>
      <c r="V3" s="371" t="s">
        <v>124</v>
      </c>
      <c r="W3" s="371"/>
      <c r="X3" s="371"/>
      <c r="Y3" s="371"/>
      <c r="Z3" s="371"/>
      <c r="AA3" s="371"/>
      <c r="AB3" s="371"/>
      <c r="AC3" s="191"/>
      <c r="AE3" s="371" t="s">
        <v>125</v>
      </c>
      <c r="AF3" s="371" t="s">
        <v>125</v>
      </c>
      <c r="AG3" s="186" t="s">
        <v>99</v>
      </c>
      <c r="AH3" s="186" t="s">
        <v>57</v>
      </c>
      <c r="AI3" s="371" t="s">
        <v>123</v>
      </c>
      <c r="AJ3" s="371"/>
      <c r="AK3" s="186" t="s">
        <v>126</v>
      </c>
      <c r="AL3" s="186" t="s">
        <v>128</v>
      </c>
      <c r="AM3" s="186" t="s">
        <v>130</v>
      </c>
      <c r="AN3" s="186" t="s">
        <v>127</v>
      </c>
      <c r="AO3" s="186" t="s">
        <v>378</v>
      </c>
      <c r="AP3" s="186" t="s">
        <v>57</v>
      </c>
      <c r="AQ3" s="371" t="s">
        <v>139</v>
      </c>
      <c r="AR3" s="371"/>
      <c r="AS3" s="371"/>
      <c r="AT3" s="371"/>
      <c r="AU3" s="186" t="s">
        <v>377</v>
      </c>
      <c r="AV3" s="186" t="s">
        <v>134</v>
      </c>
      <c r="AW3" s="371" t="s">
        <v>99</v>
      </c>
      <c r="AX3" s="371"/>
      <c r="AY3" s="371"/>
      <c r="AZ3" s="371"/>
      <c r="BA3" s="371"/>
      <c r="BB3" s="186" t="s">
        <v>131</v>
      </c>
      <c r="BC3" s="186" t="s">
        <v>132</v>
      </c>
      <c r="BD3" s="186"/>
      <c r="BE3" s="186" t="s">
        <v>136</v>
      </c>
      <c r="BF3" s="371" t="s">
        <v>379</v>
      </c>
      <c r="BG3" s="371" t="s">
        <v>379</v>
      </c>
      <c r="BH3" s="186"/>
      <c r="BJ3" s="186" t="s">
        <v>138</v>
      </c>
      <c r="BK3" s="186" t="s">
        <v>137</v>
      </c>
      <c r="BL3" s="186" t="s">
        <v>137</v>
      </c>
      <c r="BM3" s="186" t="s">
        <v>372</v>
      </c>
      <c r="BN3" s="186" t="s">
        <v>140</v>
      </c>
      <c r="BO3" s="186" t="s">
        <v>141</v>
      </c>
      <c r="BP3" s="186" t="s">
        <v>143</v>
      </c>
      <c r="BQ3" s="186" t="s">
        <v>144</v>
      </c>
      <c r="BR3" s="186" t="s">
        <v>145</v>
      </c>
      <c r="BS3" s="186" t="s">
        <v>101</v>
      </c>
      <c r="BT3" s="186" t="s">
        <v>146</v>
      </c>
      <c r="BU3" s="186" t="s">
        <v>147</v>
      </c>
      <c r="BV3" s="186" t="s">
        <v>148</v>
      </c>
      <c r="BW3" s="186" t="s">
        <v>394</v>
      </c>
      <c r="BX3" s="186" t="s">
        <v>149</v>
      </c>
      <c r="BY3" s="186" t="s">
        <v>150</v>
      </c>
      <c r="BZ3" s="186" t="s">
        <v>152</v>
      </c>
      <c r="CA3" s="186" t="s">
        <v>151</v>
      </c>
    </row>
    <row r="4" spans="1:79" s="188" customFormat="1" ht="12.75">
      <c r="A4" s="192"/>
      <c r="B4" s="193"/>
      <c r="C4" s="372" t="s">
        <v>362</v>
      </c>
      <c r="D4" s="372"/>
      <c r="E4" s="372"/>
      <c r="F4" s="372"/>
      <c r="G4" s="372"/>
      <c r="H4" s="194" t="s">
        <v>155</v>
      </c>
      <c r="I4" s="371" t="s">
        <v>159</v>
      </c>
      <c r="J4" s="371"/>
      <c r="K4" s="371" t="s">
        <v>160</v>
      </c>
      <c r="L4" s="371"/>
      <c r="M4" s="371"/>
      <c r="N4" s="371"/>
      <c r="O4" s="371" t="s">
        <v>163</v>
      </c>
      <c r="P4" s="371"/>
      <c r="Q4" s="194" t="s">
        <v>164</v>
      </c>
      <c r="R4" s="371" t="s">
        <v>165</v>
      </c>
      <c r="S4" s="371"/>
      <c r="T4" s="371"/>
      <c r="U4" s="371"/>
      <c r="V4" s="371" t="s">
        <v>166</v>
      </c>
      <c r="W4" s="371"/>
      <c r="X4" s="372" t="s">
        <v>167</v>
      </c>
      <c r="Y4" s="372"/>
      <c r="Z4" s="372"/>
      <c r="AA4" s="372"/>
      <c r="AB4" s="372"/>
      <c r="AC4" s="371" t="s">
        <v>168</v>
      </c>
      <c r="AD4" s="371"/>
      <c r="AE4" s="372" t="s">
        <v>169</v>
      </c>
      <c r="AF4" s="372"/>
      <c r="AG4" s="194" t="s">
        <v>170</v>
      </c>
      <c r="AH4" s="194" t="s">
        <v>171</v>
      </c>
      <c r="AI4" s="372" t="s">
        <v>172</v>
      </c>
      <c r="AJ4" s="371"/>
      <c r="AK4" s="194" t="s">
        <v>173</v>
      </c>
      <c r="AL4" s="194" t="s">
        <v>174</v>
      </c>
      <c r="AM4" s="194" t="s">
        <v>175</v>
      </c>
      <c r="AN4" s="194" t="s">
        <v>176</v>
      </c>
      <c r="AO4" s="194" t="s">
        <v>177</v>
      </c>
      <c r="AP4" s="194" t="s">
        <v>178</v>
      </c>
      <c r="AQ4" s="372" t="s">
        <v>179</v>
      </c>
      <c r="AR4" s="371"/>
      <c r="AS4" s="371"/>
      <c r="AT4" s="371"/>
      <c r="AU4" s="194" t="s">
        <v>180</v>
      </c>
      <c r="AV4" s="195" t="s">
        <v>477</v>
      </c>
      <c r="AW4" s="372" t="s">
        <v>181</v>
      </c>
      <c r="AX4" s="371"/>
      <c r="AY4" s="371"/>
      <c r="AZ4" s="371"/>
      <c r="BA4" s="371"/>
      <c r="BB4" s="194" t="s">
        <v>182</v>
      </c>
      <c r="BC4" s="194" t="s">
        <v>183</v>
      </c>
      <c r="BD4" s="194" t="s">
        <v>184</v>
      </c>
      <c r="BE4" s="194" t="s">
        <v>185</v>
      </c>
      <c r="BF4" s="373" t="s">
        <v>186</v>
      </c>
      <c r="BG4" s="374"/>
      <c r="BH4" s="372" t="s">
        <v>187</v>
      </c>
      <c r="BI4" s="371"/>
      <c r="BJ4" s="194" t="s">
        <v>188</v>
      </c>
      <c r="BK4" s="194" t="s">
        <v>189</v>
      </c>
      <c r="BL4" s="194" t="s">
        <v>192</v>
      </c>
      <c r="BM4" s="194" t="s">
        <v>193</v>
      </c>
      <c r="BN4" s="194" t="s">
        <v>194</v>
      </c>
      <c r="BO4" s="194" t="s">
        <v>195</v>
      </c>
      <c r="BP4" s="194" t="s">
        <v>196</v>
      </c>
      <c r="BQ4" s="194" t="s">
        <v>198</v>
      </c>
      <c r="BR4" s="194" t="s">
        <v>199</v>
      </c>
      <c r="BS4" s="194" t="s">
        <v>200</v>
      </c>
      <c r="BT4" s="194" t="s">
        <v>201</v>
      </c>
      <c r="BU4" s="194" t="s">
        <v>202</v>
      </c>
      <c r="BV4" s="194" t="s">
        <v>203</v>
      </c>
      <c r="BW4" s="194" t="s">
        <v>204</v>
      </c>
      <c r="BX4" s="194" t="s">
        <v>205</v>
      </c>
      <c r="BY4" s="194" t="s">
        <v>206</v>
      </c>
      <c r="BZ4" s="194" t="s">
        <v>207</v>
      </c>
      <c r="CA4" s="194" t="s">
        <v>208</v>
      </c>
    </row>
    <row r="5" spans="1:67" s="213" customFormat="1" ht="11.25">
      <c r="A5" s="211"/>
      <c r="B5" s="212"/>
      <c r="C5" s="197" t="s">
        <v>156</v>
      </c>
      <c r="D5" s="197" t="s">
        <v>157</v>
      </c>
      <c r="E5" s="197" t="s">
        <v>391</v>
      </c>
      <c r="F5" s="197" t="s">
        <v>392</v>
      </c>
      <c r="G5" s="197" t="s">
        <v>393</v>
      </c>
      <c r="H5" s="197"/>
      <c r="I5" s="197" t="s">
        <v>351</v>
      </c>
      <c r="J5" s="197" t="s">
        <v>78</v>
      </c>
      <c r="K5" s="197" t="s">
        <v>351</v>
      </c>
      <c r="L5" s="197" t="s">
        <v>383</v>
      </c>
      <c r="M5" s="197" t="s">
        <v>384</v>
      </c>
      <c r="N5" s="197" t="s">
        <v>385</v>
      </c>
      <c r="O5" s="197" t="s">
        <v>351</v>
      </c>
      <c r="P5" s="197" t="s">
        <v>78</v>
      </c>
      <c r="Q5" s="197"/>
      <c r="R5" s="197" t="s">
        <v>351</v>
      </c>
      <c r="S5" s="197" t="s">
        <v>486</v>
      </c>
      <c r="T5" s="197" t="s">
        <v>487</v>
      </c>
      <c r="U5" s="197" t="s">
        <v>488</v>
      </c>
      <c r="V5" s="197" t="s">
        <v>351</v>
      </c>
      <c r="W5" s="197" t="s">
        <v>78</v>
      </c>
      <c r="X5" s="197" t="s">
        <v>351</v>
      </c>
      <c r="Y5" s="197" t="s">
        <v>359</v>
      </c>
      <c r="Z5" s="197" t="s">
        <v>360</v>
      </c>
      <c r="AA5" s="197" t="s">
        <v>361</v>
      </c>
      <c r="AB5" s="197" t="s">
        <v>386</v>
      </c>
      <c r="AC5" s="197" t="s">
        <v>351</v>
      </c>
      <c r="AD5" s="197" t="s">
        <v>78</v>
      </c>
      <c r="AE5" s="197" t="s">
        <v>161</v>
      </c>
      <c r="AF5" s="197" t="s">
        <v>60</v>
      </c>
      <c r="AG5" s="197"/>
      <c r="AH5" s="197"/>
      <c r="AI5" s="197" t="s">
        <v>351</v>
      </c>
      <c r="AJ5" s="197" t="s">
        <v>78</v>
      </c>
      <c r="AK5" s="197"/>
      <c r="AL5" s="197"/>
      <c r="AM5" s="197"/>
      <c r="AN5" s="197"/>
      <c r="AO5" s="197"/>
      <c r="AP5" s="197"/>
      <c r="AQ5" s="197" t="s">
        <v>351</v>
      </c>
      <c r="AR5" s="197" t="s">
        <v>387</v>
      </c>
      <c r="AS5" s="197" t="s">
        <v>388</v>
      </c>
      <c r="AT5" s="197" t="s">
        <v>389</v>
      </c>
      <c r="AU5" s="197"/>
      <c r="AV5" s="197"/>
      <c r="AW5" s="197" t="s">
        <v>351</v>
      </c>
      <c r="AX5" s="197" t="s">
        <v>349</v>
      </c>
      <c r="AY5" s="197" t="s">
        <v>350</v>
      </c>
      <c r="AZ5" s="197" t="s">
        <v>550</v>
      </c>
      <c r="BA5" s="197" t="s">
        <v>551</v>
      </c>
      <c r="BB5" s="197"/>
      <c r="BC5" s="197"/>
      <c r="BD5" s="197"/>
      <c r="BE5" s="197"/>
      <c r="BF5" s="197" t="s">
        <v>190</v>
      </c>
      <c r="BG5" s="197" t="s">
        <v>191</v>
      </c>
      <c r="BH5" s="197" t="s">
        <v>351</v>
      </c>
      <c r="BI5" s="197" t="s">
        <v>78</v>
      </c>
      <c r="BJ5" s="197"/>
      <c r="BK5" s="197"/>
      <c r="BL5" s="197"/>
      <c r="BM5" s="197"/>
      <c r="BN5" s="197"/>
      <c r="BO5" s="197"/>
    </row>
    <row r="6" spans="2:67" s="141" customFormat="1" ht="11.25">
      <c r="B6" s="211"/>
      <c r="E6" s="197"/>
      <c r="F6" s="197"/>
      <c r="G6" s="197"/>
      <c r="H6" s="197"/>
      <c r="I6" s="197" t="s">
        <v>158</v>
      </c>
      <c r="J6" s="197" t="s">
        <v>158</v>
      </c>
      <c r="K6" s="197" t="s">
        <v>158</v>
      </c>
      <c r="L6" s="197"/>
      <c r="M6" s="197"/>
      <c r="N6" s="197"/>
      <c r="O6" s="197" t="s">
        <v>158</v>
      </c>
      <c r="P6" s="197" t="s">
        <v>158</v>
      </c>
      <c r="Q6" s="197"/>
      <c r="R6" s="197" t="s">
        <v>158</v>
      </c>
      <c r="S6" s="197"/>
      <c r="T6" s="197"/>
      <c r="U6" s="197"/>
      <c r="V6" s="197" t="s">
        <v>158</v>
      </c>
      <c r="W6" s="197" t="s">
        <v>158</v>
      </c>
      <c r="X6" s="197" t="s">
        <v>158</v>
      </c>
      <c r="Y6" s="197"/>
      <c r="Z6" s="197"/>
      <c r="AA6" s="197"/>
      <c r="AB6" s="197"/>
      <c r="AC6" s="197" t="s">
        <v>158</v>
      </c>
      <c r="AD6" s="197" t="s">
        <v>158</v>
      </c>
      <c r="AF6" s="197" t="s">
        <v>158</v>
      </c>
      <c r="AG6" s="197"/>
      <c r="AH6" s="197"/>
      <c r="AI6" s="197" t="s">
        <v>158</v>
      </c>
      <c r="AJ6" s="197" t="s">
        <v>158</v>
      </c>
      <c r="AK6" s="197"/>
      <c r="AL6" s="197"/>
      <c r="AM6" s="197"/>
      <c r="AN6" s="197"/>
      <c r="AO6" s="197"/>
      <c r="AP6" s="197"/>
      <c r="AQ6" s="197" t="s">
        <v>158</v>
      </c>
      <c r="AR6" s="197"/>
      <c r="AS6" s="197"/>
      <c r="AT6" s="197"/>
      <c r="AU6" s="197"/>
      <c r="AV6" s="197"/>
      <c r="AW6" s="197" t="s">
        <v>158</v>
      </c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 t="s">
        <v>158</v>
      </c>
      <c r="BI6" s="197" t="s">
        <v>158</v>
      </c>
      <c r="BJ6" s="197"/>
      <c r="BK6" s="197"/>
      <c r="BL6" s="197"/>
      <c r="BM6" s="197"/>
      <c r="BN6" s="197"/>
      <c r="BO6" s="197"/>
    </row>
    <row r="7" ht="12.75">
      <c r="C7" s="187"/>
    </row>
    <row r="8" spans="1:79" s="200" customFormat="1" ht="12.75">
      <c r="A8" s="199" t="s">
        <v>406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</row>
    <row r="9" spans="2:81" s="200" customFormat="1" ht="12.75">
      <c r="B9" s="201" t="s">
        <v>310</v>
      </c>
      <c r="C9" s="202">
        <v>37466</v>
      </c>
      <c r="D9" s="202">
        <v>8057</v>
      </c>
      <c r="E9" s="202">
        <v>1104</v>
      </c>
      <c r="F9" s="202">
        <v>407</v>
      </c>
      <c r="G9" s="202">
        <v>0</v>
      </c>
      <c r="H9" s="202">
        <v>36029</v>
      </c>
      <c r="I9" s="202">
        <v>22536</v>
      </c>
      <c r="J9" s="202">
        <v>561</v>
      </c>
      <c r="K9" s="202">
        <v>22061</v>
      </c>
      <c r="L9" s="202">
        <v>78</v>
      </c>
      <c r="M9" s="202">
        <v>9</v>
      </c>
      <c r="N9" s="202">
        <v>0</v>
      </c>
      <c r="O9" s="202">
        <v>17873</v>
      </c>
      <c r="P9" s="202">
        <v>199</v>
      </c>
      <c r="Q9" s="202">
        <v>14964</v>
      </c>
      <c r="R9" s="202">
        <v>2417</v>
      </c>
      <c r="S9" s="202">
        <v>10805</v>
      </c>
      <c r="T9" s="202">
        <v>1305</v>
      </c>
      <c r="U9" s="202">
        <v>0</v>
      </c>
      <c r="V9" s="202">
        <v>15962</v>
      </c>
      <c r="W9" s="202">
        <v>91</v>
      </c>
      <c r="X9" s="202">
        <v>1454</v>
      </c>
      <c r="Y9" s="202">
        <v>737</v>
      </c>
      <c r="Z9" s="202">
        <v>4081</v>
      </c>
      <c r="AA9" s="202">
        <v>561</v>
      </c>
      <c r="AB9" s="202">
        <v>0</v>
      </c>
      <c r="AC9" s="202">
        <v>7959</v>
      </c>
      <c r="AD9" s="202">
        <v>26</v>
      </c>
      <c r="AE9" s="202">
        <v>1941</v>
      </c>
      <c r="AF9" s="202">
        <v>8681</v>
      </c>
      <c r="AG9" s="202">
        <v>4884</v>
      </c>
      <c r="AH9" s="202">
        <v>6439</v>
      </c>
      <c r="AI9" s="202">
        <v>5620</v>
      </c>
      <c r="AJ9" s="202">
        <v>31</v>
      </c>
      <c r="AK9" s="202">
        <v>4381</v>
      </c>
      <c r="AL9" s="202">
        <v>2481</v>
      </c>
      <c r="AM9" s="202">
        <v>4283</v>
      </c>
      <c r="AN9" s="202">
        <v>7588</v>
      </c>
      <c r="AO9" s="202">
        <v>4717</v>
      </c>
      <c r="AP9" s="202">
        <v>4524</v>
      </c>
      <c r="AQ9" s="202">
        <v>3814</v>
      </c>
      <c r="AR9" s="202">
        <v>144</v>
      </c>
      <c r="AS9" s="202">
        <v>34</v>
      </c>
      <c r="AT9" s="202">
        <v>0</v>
      </c>
      <c r="AU9" s="202">
        <v>4611</v>
      </c>
      <c r="AV9" s="202">
        <v>4680</v>
      </c>
      <c r="AW9" s="202">
        <v>298</v>
      </c>
      <c r="AX9" s="202">
        <v>792</v>
      </c>
      <c r="AY9" s="202">
        <v>1271</v>
      </c>
      <c r="AZ9" s="202">
        <v>396</v>
      </c>
      <c r="BA9" s="202">
        <v>0</v>
      </c>
      <c r="BB9" s="202">
        <v>2769</v>
      </c>
      <c r="BC9" s="202">
        <v>3782</v>
      </c>
      <c r="BD9" s="202">
        <v>1630</v>
      </c>
      <c r="BE9" s="202">
        <v>2509</v>
      </c>
      <c r="BF9" s="202">
        <v>1235</v>
      </c>
      <c r="BG9" s="202">
        <v>94</v>
      </c>
      <c r="BH9" s="202">
        <v>670</v>
      </c>
      <c r="BI9" s="202">
        <v>7</v>
      </c>
      <c r="BJ9" s="202">
        <v>1008</v>
      </c>
      <c r="BK9" s="202">
        <v>933</v>
      </c>
      <c r="BL9" s="202">
        <v>426</v>
      </c>
      <c r="BM9" s="202">
        <v>224</v>
      </c>
      <c r="BN9" s="202">
        <v>387</v>
      </c>
      <c r="BO9" s="202">
        <v>528</v>
      </c>
      <c r="BP9" s="202">
        <v>0</v>
      </c>
      <c r="BQ9" s="202">
        <v>212</v>
      </c>
      <c r="BR9" s="202">
        <v>294</v>
      </c>
      <c r="BS9" s="202">
        <v>12</v>
      </c>
      <c r="BT9" s="202">
        <v>248</v>
      </c>
      <c r="BU9" s="202">
        <v>238</v>
      </c>
      <c r="BV9" s="202">
        <v>127</v>
      </c>
      <c r="BW9" s="202">
        <v>160</v>
      </c>
      <c r="BX9" s="202">
        <v>119</v>
      </c>
      <c r="BY9" s="202">
        <v>16</v>
      </c>
      <c r="BZ9" s="202">
        <v>9</v>
      </c>
      <c r="CA9" s="202">
        <v>1</v>
      </c>
      <c r="CC9" s="203">
        <f aca="true" t="shared" si="0" ref="CC9:CC14">SUM(C9:CB9)</f>
        <v>295990</v>
      </c>
    </row>
    <row r="10" spans="2:81" s="200" customFormat="1" ht="12.75">
      <c r="B10" s="201" t="s">
        <v>498</v>
      </c>
      <c r="C10" s="202">
        <v>3849</v>
      </c>
      <c r="D10" s="202">
        <v>1886</v>
      </c>
      <c r="E10" s="202">
        <v>16</v>
      </c>
      <c r="F10" s="202">
        <v>3</v>
      </c>
      <c r="G10" s="202">
        <v>0</v>
      </c>
      <c r="H10" s="202">
        <v>574</v>
      </c>
      <c r="I10" s="202">
        <v>1694</v>
      </c>
      <c r="J10" s="202">
        <v>34</v>
      </c>
      <c r="K10" s="202">
        <v>508</v>
      </c>
      <c r="L10" s="202">
        <v>0</v>
      </c>
      <c r="M10" s="202">
        <v>0</v>
      </c>
      <c r="N10" s="202">
        <v>0</v>
      </c>
      <c r="O10" s="202">
        <v>1085</v>
      </c>
      <c r="P10" s="202">
        <v>85</v>
      </c>
      <c r="Q10" s="202">
        <v>494</v>
      </c>
      <c r="R10" s="202">
        <v>0</v>
      </c>
      <c r="S10" s="202">
        <v>1</v>
      </c>
      <c r="T10" s="202">
        <v>0</v>
      </c>
      <c r="U10" s="202">
        <v>0</v>
      </c>
      <c r="V10" s="202">
        <v>1048</v>
      </c>
      <c r="W10" s="202">
        <v>0</v>
      </c>
      <c r="X10" s="202">
        <v>150</v>
      </c>
      <c r="Y10" s="202">
        <v>74</v>
      </c>
      <c r="Z10" s="202">
        <v>419</v>
      </c>
      <c r="AA10" s="202">
        <v>32</v>
      </c>
      <c r="AB10" s="202">
        <v>0</v>
      </c>
      <c r="AC10" s="202">
        <v>311</v>
      </c>
      <c r="AD10" s="202">
        <v>0</v>
      </c>
      <c r="AE10" s="202">
        <v>3</v>
      </c>
      <c r="AF10" s="202">
        <v>22</v>
      </c>
      <c r="AG10" s="202">
        <v>432</v>
      </c>
      <c r="AH10" s="202">
        <v>565</v>
      </c>
      <c r="AI10" s="202">
        <v>66</v>
      </c>
      <c r="AJ10" s="202">
        <v>0</v>
      </c>
      <c r="AK10" s="202">
        <v>705</v>
      </c>
      <c r="AL10" s="202">
        <v>70</v>
      </c>
      <c r="AM10" s="202">
        <v>541</v>
      </c>
      <c r="AN10" s="202">
        <v>120</v>
      </c>
      <c r="AO10" s="202">
        <v>302</v>
      </c>
      <c r="AP10" s="202">
        <v>150</v>
      </c>
      <c r="AQ10" s="202">
        <v>111</v>
      </c>
      <c r="AR10" s="202">
        <v>0</v>
      </c>
      <c r="AS10" s="202">
        <v>0</v>
      </c>
      <c r="AT10" s="202">
        <v>0</v>
      </c>
      <c r="AU10" s="202">
        <v>617</v>
      </c>
      <c r="AV10" s="202">
        <v>61</v>
      </c>
      <c r="AW10" s="202">
        <v>14</v>
      </c>
      <c r="AX10" s="202">
        <v>6</v>
      </c>
      <c r="AY10" s="202">
        <v>19</v>
      </c>
      <c r="AZ10" s="202">
        <v>3</v>
      </c>
      <c r="BA10" s="202">
        <v>0</v>
      </c>
      <c r="BB10" s="202">
        <v>59</v>
      </c>
      <c r="BC10" s="202">
        <v>129</v>
      </c>
      <c r="BD10" s="202">
        <v>57</v>
      </c>
      <c r="BE10" s="202">
        <v>265</v>
      </c>
      <c r="BF10" s="202">
        <v>54</v>
      </c>
      <c r="BG10" s="202">
        <v>0</v>
      </c>
      <c r="BH10" s="202">
        <v>4</v>
      </c>
      <c r="BI10" s="202">
        <v>0</v>
      </c>
      <c r="BJ10" s="202">
        <v>1</v>
      </c>
      <c r="BK10" s="202">
        <v>19</v>
      </c>
      <c r="BL10" s="202">
        <v>15</v>
      </c>
      <c r="BM10" s="202">
        <v>0</v>
      </c>
      <c r="BN10" s="202">
        <v>20</v>
      </c>
      <c r="BO10" s="202">
        <v>4</v>
      </c>
      <c r="BP10" s="202">
        <v>0</v>
      </c>
      <c r="BQ10" s="202">
        <v>1</v>
      </c>
      <c r="BR10" s="202">
        <v>2</v>
      </c>
      <c r="BS10" s="202">
        <v>0</v>
      </c>
      <c r="BT10" s="202">
        <v>4</v>
      </c>
      <c r="BU10" s="202">
        <v>0</v>
      </c>
      <c r="BV10" s="202">
        <v>37</v>
      </c>
      <c r="BW10" s="202">
        <v>36</v>
      </c>
      <c r="BX10" s="202">
        <v>0</v>
      </c>
      <c r="BY10" s="202">
        <v>0</v>
      </c>
      <c r="BZ10" s="202">
        <v>0</v>
      </c>
      <c r="CA10" s="202">
        <v>0</v>
      </c>
      <c r="CC10" s="203">
        <f t="shared" si="0"/>
        <v>16777</v>
      </c>
    </row>
    <row r="11" spans="2:81" s="200" customFormat="1" ht="12.75">
      <c r="B11" s="201" t="s">
        <v>499</v>
      </c>
      <c r="C11" s="202">
        <v>4478</v>
      </c>
      <c r="D11" s="202">
        <v>2396</v>
      </c>
      <c r="E11" s="202">
        <v>204</v>
      </c>
      <c r="F11" s="202">
        <v>66</v>
      </c>
      <c r="G11" s="202">
        <v>0</v>
      </c>
      <c r="H11" s="202">
        <v>9068</v>
      </c>
      <c r="I11" s="202">
        <v>3694</v>
      </c>
      <c r="J11" s="202">
        <v>55</v>
      </c>
      <c r="K11" s="202">
        <v>3844</v>
      </c>
      <c r="L11" s="202">
        <v>6</v>
      </c>
      <c r="M11" s="202">
        <v>0</v>
      </c>
      <c r="N11" s="202">
        <v>0</v>
      </c>
      <c r="O11" s="202">
        <v>3927</v>
      </c>
      <c r="P11" s="202">
        <v>555</v>
      </c>
      <c r="Q11" s="202">
        <v>2222</v>
      </c>
      <c r="R11" s="202">
        <v>159</v>
      </c>
      <c r="S11" s="202">
        <v>554</v>
      </c>
      <c r="T11" s="202">
        <v>122</v>
      </c>
      <c r="U11" s="202">
        <v>0</v>
      </c>
      <c r="V11" s="202">
        <v>2396</v>
      </c>
      <c r="W11" s="202">
        <v>15</v>
      </c>
      <c r="X11" s="202">
        <v>907</v>
      </c>
      <c r="Y11" s="202">
        <v>1118</v>
      </c>
      <c r="Z11" s="202">
        <v>2512</v>
      </c>
      <c r="AA11" s="202">
        <v>307</v>
      </c>
      <c r="AB11" s="202">
        <v>0</v>
      </c>
      <c r="AC11" s="202">
        <v>1555</v>
      </c>
      <c r="AD11" s="202">
        <v>0</v>
      </c>
      <c r="AE11" s="202">
        <v>569</v>
      </c>
      <c r="AF11" s="202">
        <v>2438</v>
      </c>
      <c r="AG11" s="202">
        <v>2132</v>
      </c>
      <c r="AH11" s="202">
        <v>1342</v>
      </c>
      <c r="AI11" s="202">
        <v>717</v>
      </c>
      <c r="AJ11" s="202">
        <v>2</v>
      </c>
      <c r="AK11" s="202">
        <v>1533</v>
      </c>
      <c r="AL11" s="202">
        <v>2978</v>
      </c>
      <c r="AM11" s="202">
        <v>547</v>
      </c>
      <c r="AN11" s="202">
        <v>1744</v>
      </c>
      <c r="AO11" s="202">
        <v>1415</v>
      </c>
      <c r="AP11" s="202">
        <v>1474</v>
      </c>
      <c r="AQ11" s="202">
        <v>1256</v>
      </c>
      <c r="AR11" s="202">
        <v>18</v>
      </c>
      <c r="AS11" s="202">
        <v>2</v>
      </c>
      <c r="AT11" s="202">
        <v>0</v>
      </c>
      <c r="AU11" s="202">
        <v>984</v>
      </c>
      <c r="AV11" s="202">
        <v>153</v>
      </c>
      <c r="AW11" s="202">
        <v>129</v>
      </c>
      <c r="AX11" s="202">
        <v>361</v>
      </c>
      <c r="AY11" s="202">
        <v>546</v>
      </c>
      <c r="AZ11" s="202">
        <v>215</v>
      </c>
      <c r="BA11" s="202">
        <v>0</v>
      </c>
      <c r="BB11" s="202">
        <v>1217</v>
      </c>
      <c r="BC11" s="202">
        <v>1162</v>
      </c>
      <c r="BD11" s="202">
        <v>715</v>
      </c>
      <c r="BE11" s="202">
        <v>418</v>
      </c>
      <c r="BF11" s="202">
        <v>401</v>
      </c>
      <c r="BG11" s="202">
        <v>14</v>
      </c>
      <c r="BH11" s="202">
        <v>163</v>
      </c>
      <c r="BI11" s="202">
        <v>1</v>
      </c>
      <c r="BJ11" s="202">
        <v>209</v>
      </c>
      <c r="BK11" s="202">
        <v>265</v>
      </c>
      <c r="BL11" s="202">
        <v>272</v>
      </c>
      <c r="BM11" s="202">
        <v>294</v>
      </c>
      <c r="BN11" s="202">
        <v>213</v>
      </c>
      <c r="BO11" s="202">
        <v>225</v>
      </c>
      <c r="BP11" s="202">
        <v>0</v>
      </c>
      <c r="BQ11" s="202">
        <v>96</v>
      </c>
      <c r="BR11" s="202">
        <v>104</v>
      </c>
      <c r="BS11" s="202">
        <v>41</v>
      </c>
      <c r="BT11" s="202">
        <v>30</v>
      </c>
      <c r="BU11" s="202">
        <v>105</v>
      </c>
      <c r="BV11" s="202">
        <v>201</v>
      </c>
      <c r="BW11" s="202">
        <v>71</v>
      </c>
      <c r="BX11" s="202">
        <v>11</v>
      </c>
      <c r="BY11" s="202">
        <v>0</v>
      </c>
      <c r="BZ11" s="202">
        <v>0</v>
      </c>
      <c r="CA11" s="202">
        <v>0</v>
      </c>
      <c r="CC11" s="203">
        <f t="shared" si="0"/>
        <v>66943</v>
      </c>
    </row>
    <row r="12" spans="2:81" s="200" customFormat="1" ht="12.75">
      <c r="B12" s="201" t="s">
        <v>546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27985</v>
      </c>
      <c r="I12" s="202">
        <v>1560</v>
      </c>
      <c r="J12" s="202">
        <v>0</v>
      </c>
      <c r="K12" s="202">
        <v>988</v>
      </c>
      <c r="L12" s="202">
        <v>2</v>
      </c>
      <c r="M12" s="202">
        <v>0</v>
      </c>
      <c r="N12" s="202">
        <v>0</v>
      </c>
      <c r="O12" s="202">
        <v>387</v>
      </c>
      <c r="P12" s="202">
        <v>0</v>
      </c>
      <c r="Q12" s="202">
        <v>1116</v>
      </c>
      <c r="R12" s="202">
        <v>184</v>
      </c>
      <c r="S12" s="202">
        <v>948</v>
      </c>
      <c r="T12" s="202">
        <v>65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91</v>
      </c>
      <c r="AD12" s="202">
        <v>0</v>
      </c>
      <c r="AE12" s="202">
        <v>0</v>
      </c>
      <c r="AF12" s="202">
        <v>0</v>
      </c>
      <c r="AG12" s="202">
        <v>270</v>
      </c>
      <c r="AH12" s="202">
        <v>0</v>
      </c>
      <c r="AI12" s="202">
        <v>1110</v>
      </c>
      <c r="AJ12" s="202">
        <v>0</v>
      </c>
      <c r="AK12" s="202">
        <v>55</v>
      </c>
      <c r="AL12" s="202">
        <v>232</v>
      </c>
      <c r="AM12" s="202">
        <v>0</v>
      </c>
      <c r="AN12" s="202">
        <v>101</v>
      </c>
      <c r="AO12" s="202">
        <v>114</v>
      </c>
      <c r="AP12" s="202">
        <v>6</v>
      </c>
      <c r="AQ12" s="202">
        <v>216</v>
      </c>
      <c r="AR12" s="202">
        <v>4</v>
      </c>
      <c r="AS12" s="202">
        <v>0</v>
      </c>
      <c r="AT12" s="202">
        <v>0</v>
      </c>
      <c r="AU12" s="202">
        <v>16</v>
      </c>
      <c r="AV12" s="202">
        <v>2</v>
      </c>
      <c r="AW12" s="202">
        <v>0</v>
      </c>
      <c r="AX12" s="202">
        <v>0</v>
      </c>
      <c r="AY12" s="202">
        <v>0</v>
      </c>
      <c r="AZ12" s="202">
        <v>0</v>
      </c>
      <c r="BA12" s="202">
        <v>0</v>
      </c>
      <c r="BB12" s="202">
        <v>0</v>
      </c>
      <c r="BC12" s="202">
        <v>0</v>
      </c>
      <c r="BD12" s="202">
        <v>180</v>
      </c>
      <c r="BE12" s="202">
        <v>0</v>
      </c>
      <c r="BF12" s="202">
        <v>0</v>
      </c>
      <c r="BG12" s="202">
        <v>0</v>
      </c>
      <c r="BH12" s="202">
        <v>0</v>
      </c>
      <c r="BI12" s="202">
        <v>0</v>
      </c>
      <c r="BJ12" s="202">
        <v>28</v>
      </c>
      <c r="BK12" s="202">
        <v>0</v>
      </c>
      <c r="BL12" s="202">
        <v>0</v>
      </c>
      <c r="BM12" s="202">
        <v>0</v>
      </c>
      <c r="BN12" s="202">
        <v>0</v>
      </c>
      <c r="BO12" s="202">
        <v>0</v>
      </c>
      <c r="BP12" s="202">
        <v>0</v>
      </c>
      <c r="BQ12" s="202">
        <v>0</v>
      </c>
      <c r="BR12" s="202">
        <v>0</v>
      </c>
      <c r="BS12" s="202">
        <v>1</v>
      </c>
      <c r="BT12" s="202">
        <v>7</v>
      </c>
      <c r="BU12" s="202">
        <v>0</v>
      </c>
      <c r="BV12" s="202">
        <v>0</v>
      </c>
      <c r="BW12" s="202">
        <v>0</v>
      </c>
      <c r="BX12" s="202">
        <v>0</v>
      </c>
      <c r="BY12" s="202">
        <v>0</v>
      </c>
      <c r="BZ12" s="202">
        <v>0</v>
      </c>
      <c r="CA12" s="202">
        <v>0</v>
      </c>
      <c r="CC12" s="203">
        <f t="shared" si="0"/>
        <v>35668</v>
      </c>
    </row>
    <row r="13" spans="2:81" s="200" customFormat="1" ht="12.75">
      <c r="B13" s="201" t="s">
        <v>311</v>
      </c>
      <c r="C13" s="202">
        <v>3629</v>
      </c>
      <c r="D13" s="202">
        <v>2726</v>
      </c>
      <c r="E13" s="202">
        <v>123</v>
      </c>
      <c r="F13" s="202">
        <v>31</v>
      </c>
      <c r="G13" s="202">
        <v>0</v>
      </c>
      <c r="H13" s="202">
        <v>5976</v>
      </c>
      <c r="I13" s="202">
        <v>5591</v>
      </c>
      <c r="J13" s="202">
        <v>135</v>
      </c>
      <c r="K13" s="202">
        <v>4183</v>
      </c>
      <c r="L13" s="202">
        <v>5</v>
      </c>
      <c r="M13" s="202">
        <v>1</v>
      </c>
      <c r="N13" s="202">
        <v>0</v>
      </c>
      <c r="O13" s="202">
        <v>1664</v>
      </c>
      <c r="P13" s="202">
        <v>330</v>
      </c>
      <c r="Q13" s="202">
        <v>2966</v>
      </c>
      <c r="R13" s="202">
        <v>137</v>
      </c>
      <c r="S13" s="202">
        <v>2042</v>
      </c>
      <c r="T13" s="202">
        <v>66</v>
      </c>
      <c r="U13" s="202">
        <v>0</v>
      </c>
      <c r="V13" s="202">
        <v>1341</v>
      </c>
      <c r="W13" s="202">
        <v>21</v>
      </c>
      <c r="X13" s="202">
        <v>793</v>
      </c>
      <c r="Y13" s="202">
        <v>337</v>
      </c>
      <c r="Z13" s="202">
        <v>2208</v>
      </c>
      <c r="AA13" s="202">
        <v>263</v>
      </c>
      <c r="AB13" s="202">
        <v>0</v>
      </c>
      <c r="AC13" s="202">
        <v>1278</v>
      </c>
      <c r="AD13" s="202">
        <v>109</v>
      </c>
      <c r="AE13" s="202">
        <v>518</v>
      </c>
      <c r="AF13" s="202">
        <v>1679</v>
      </c>
      <c r="AG13" s="202">
        <v>4460</v>
      </c>
      <c r="AH13" s="202">
        <v>928</v>
      </c>
      <c r="AI13" s="202">
        <v>1870</v>
      </c>
      <c r="AJ13" s="202">
        <v>2</v>
      </c>
      <c r="AK13" s="202">
        <v>1332</v>
      </c>
      <c r="AL13" s="202">
        <v>1659</v>
      </c>
      <c r="AM13" s="202">
        <v>555</v>
      </c>
      <c r="AN13" s="202">
        <v>521</v>
      </c>
      <c r="AO13" s="202">
        <v>707</v>
      </c>
      <c r="AP13" s="202">
        <v>956</v>
      </c>
      <c r="AQ13" s="202">
        <v>831</v>
      </c>
      <c r="AR13" s="202">
        <v>11</v>
      </c>
      <c r="AS13" s="202">
        <v>2</v>
      </c>
      <c r="AT13" s="202">
        <v>0</v>
      </c>
      <c r="AU13" s="202">
        <v>1151</v>
      </c>
      <c r="AV13" s="202">
        <v>601</v>
      </c>
      <c r="AW13" s="202">
        <v>171</v>
      </c>
      <c r="AX13" s="202">
        <v>470</v>
      </c>
      <c r="AY13" s="202">
        <v>700</v>
      </c>
      <c r="AZ13" s="202">
        <v>265</v>
      </c>
      <c r="BA13" s="202">
        <v>0</v>
      </c>
      <c r="BB13" s="202">
        <v>1707</v>
      </c>
      <c r="BC13" s="202">
        <v>255</v>
      </c>
      <c r="BD13" s="202">
        <v>724</v>
      </c>
      <c r="BE13" s="202">
        <v>539</v>
      </c>
      <c r="BF13" s="202">
        <v>331</v>
      </c>
      <c r="BG13" s="202">
        <v>3</v>
      </c>
      <c r="BH13" s="202">
        <v>357</v>
      </c>
      <c r="BI13" s="202">
        <v>1</v>
      </c>
      <c r="BJ13" s="202">
        <v>75</v>
      </c>
      <c r="BK13" s="202">
        <v>588</v>
      </c>
      <c r="BL13" s="202">
        <v>397</v>
      </c>
      <c r="BM13" s="202">
        <v>3</v>
      </c>
      <c r="BN13" s="202">
        <v>184</v>
      </c>
      <c r="BO13" s="202">
        <v>304</v>
      </c>
      <c r="BP13" s="202">
        <v>93</v>
      </c>
      <c r="BQ13" s="202">
        <v>118</v>
      </c>
      <c r="BR13" s="202">
        <v>161</v>
      </c>
      <c r="BS13" s="202">
        <v>32</v>
      </c>
      <c r="BT13" s="202">
        <v>0</v>
      </c>
      <c r="BU13" s="202">
        <v>93</v>
      </c>
      <c r="BV13" s="202">
        <v>18</v>
      </c>
      <c r="BW13" s="202">
        <v>68</v>
      </c>
      <c r="BX13" s="202">
        <v>14</v>
      </c>
      <c r="BY13" s="202">
        <v>0</v>
      </c>
      <c r="BZ13" s="202">
        <v>0</v>
      </c>
      <c r="CA13" s="202">
        <v>0</v>
      </c>
      <c r="CC13" s="203">
        <f t="shared" si="0"/>
        <v>61409</v>
      </c>
    </row>
    <row r="14" spans="2:81" s="204" customFormat="1" ht="13.5">
      <c r="B14" s="205" t="s">
        <v>407</v>
      </c>
      <c r="C14" s="206">
        <f>SUM(C9:C13)</f>
        <v>49422</v>
      </c>
      <c r="D14" s="206">
        <f>SUM(D9:D13)</f>
        <v>15065</v>
      </c>
      <c r="E14" s="206">
        <f aca="true" t="shared" si="1" ref="E14:BJ14">SUM(E9:E13)</f>
        <v>1447</v>
      </c>
      <c r="F14" s="206">
        <f t="shared" si="1"/>
        <v>507</v>
      </c>
      <c r="G14" s="206">
        <f t="shared" si="1"/>
        <v>0</v>
      </c>
      <c r="H14" s="206">
        <f>SUM(H9:H13)</f>
        <v>79632</v>
      </c>
      <c r="I14" s="206">
        <f t="shared" si="1"/>
        <v>35075</v>
      </c>
      <c r="J14" s="206">
        <f t="shared" si="1"/>
        <v>785</v>
      </c>
      <c r="K14" s="206">
        <f t="shared" si="1"/>
        <v>31584</v>
      </c>
      <c r="L14" s="206">
        <f t="shared" si="1"/>
        <v>91</v>
      </c>
      <c r="M14" s="206">
        <f t="shared" si="1"/>
        <v>10</v>
      </c>
      <c r="N14" s="206">
        <f t="shared" si="1"/>
        <v>0</v>
      </c>
      <c r="O14" s="206">
        <f t="shared" si="1"/>
        <v>24936</v>
      </c>
      <c r="P14" s="206">
        <f t="shared" si="1"/>
        <v>1169</v>
      </c>
      <c r="Q14" s="206">
        <f t="shared" si="1"/>
        <v>21762</v>
      </c>
      <c r="R14" s="206">
        <f>SUM(R9:R13)</f>
        <v>2897</v>
      </c>
      <c r="S14" s="206">
        <f>SUM(S9:S13)</f>
        <v>14350</v>
      </c>
      <c r="T14" s="206">
        <f>SUM(T9:T13)</f>
        <v>1558</v>
      </c>
      <c r="U14" s="206">
        <f>SUM(U9:U13)</f>
        <v>0</v>
      </c>
      <c r="V14" s="206">
        <f t="shared" si="1"/>
        <v>20747</v>
      </c>
      <c r="W14" s="206">
        <f t="shared" si="1"/>
        <v>127</v>
      </c>
      <c r="X14" s="206">
        <f t="shared" si="1"/>
        <v>3304</v>
      </c>
      <c r="Y14" s="206">
        <f t="shared" si="1"/>
        <v>2266</v>
      </c>
      <c r="Z14" s="206">
        <f t="shared" si="1"/>
        <v>9220</v>
      </c>
      <c r="AA14" s="206">
        <f t="shared" si="1"/>
        <v>1163</v>
      </c>
      <c r="AB14" s="206">
        <f t="shared" si="1"/>
        <v>0</v>
      </c>
      <c r="AC14" s="206">
        <f t="shared" si="1"/>
        <v>11194</v>
      </c>
      <c r="AD14" s="206">
        <f t="shared" si="1"/>
        <v>135</v>
      </c>
      <c r="AE14" s="206">
        <f t="shared" si="1"/>
        <v>3031</v>
      </c>
      <c r="AF14" s="206">
        <f t="shared" si="1"/>
        <v>12820</v>
      </c>
      <c r="AG14" s="206">
        <f t="shared" si="1"/>
        <v>12178</v>
      </c>
      <c r="AH14" s="206">
        <f>SUM(AH9:AH13)</f>
        <v>9274</v>
      </c>
      <c r="AI14" s="206">
        <f t="shared" si="1"/>
        <v>9383</v>
      </c>
      <c r="AJ14" s="206">
        <f t="shared" si="1"/>
        <v>35</v>
      </c>
      <c r="AK14" s="206">
        <f t="shared" si="1"/>
        <v>8006</v>
      </c>
      <c r="AL14" s="206">
        <f t="shared" si="1"/>
        <v>7420</v>
      </c>
      <c r="AM14" s="206">
        <f>SUM(AM9:AM13)</f>
        <v>5926</v>
      </c>
      <c r="AN14" s="206">
        <f t="shared" si="1"/>
        <v>10074</v>
      </c>
      <c r="AO14" s="206">
        <f t="shared" si="1"/>
        <v>7255</v>
      </c>
      <c r="AP14" s="206">
        <f t="shared" si="1"/>
        <v>7110</v>
      </c>
      <c r="AQ14" s="206">
        <f>SUM(AQ9:AQ13)</f>
        <v>6228</v>
      </c>
      <c r="AR14" s="206">
        <f>SUM(AR9:AR13)</f>
        <v>177</v>
      </c>
      <c r="AS14" s="206">
        <f>SUM(AS9:AS13)</f>
        <v>38</v>
      </c>
      <c r="AT14" s="206">
        <f>SUM(AT9:AT13)</f>
        <v>0</v>
      </c>
      <c r="AU14" s="206">
        <f>SUM(AU9:AU13)</f>
        <v>7379</v>
      </c>
      <c r="AV14" s="206">
        <f t="shared" si="1"/>
        <v>5497</v>
      </c>
      <c r="AW14" s="206">
        <f>SUM(AW9:AW13)</f>
        <v>612</v>
      </c>
      <c r="AX14" s="206">
        <f>SUM(AX9:AX13)</f>
        <v>1629</v>
      </c>
      <c r="AY14" s="206">
        <f>SUM(AY9:AY13)</f>
        <v>2536</v>
      </c>
      <c r="AZ14" s="206">
        <f>SUM(AZ9:AZ13)</f>
        <v>879</v>
      </c>
      <c r="BA14" s="206">
        <f>SUM(BA9:BA13)</f>
        <v>0</v>
      </c>
      <c r="BB14" s="206">
        <f t="shared" si="1"/>
        <v>5752</v>
      </c>
      <c r="BC14" s="206">
        <f t="shared" si="1"/>
        <v>5328</v>
      </c>
      <c r="BD14" s="206">
        <f t="shared" si="1"/>
        <v>3306</v>
      </c>
      <c r="BE14" s="206">
        <f>SUM(BE9:BE13)</f>
        <v>3731</v>
      </c>
      <c r="BF14" s="206">
        <f t="shared" si="1"/>
        <v>2021</v>
      </c>
      <c r="BG14" s="206">
        <f t="shared" si="1"/>
        <v>111</v>
      </c>
      <c r="BH14" s="206">
        <f t="shared" si="1"/>
        <v>1194</v>
      </c>
      <c r="BI14" s="206">
        <f t="shared" si="1"/>
        <v>9</v>
      </c>
      <c r="BJ14" s="206">
        <f t="shared" si="1"/>
        <v>1321</v>
      </c>
      <c r="BK14" s="206">
        <f aca="true" t="shared" si="2" ref="BK14:CA14">SUM(BK9:BK13)</f>
        <v>1805</v>
      </c>
      <c r="BL14" s="206">
        <f>SUM(BL9:BL13)</f>
        <v>1110</v>
      </c>
      <c r="BM14" s="206">
        <f t="shared" si="2"/>
        <v>521</v>
      </c>
      <c r="BN14" s="206">
        <f t="shared" si="2"/>
        <v>804</v>
      </c>
      <c r="BO14" s="206">
        <f t="shared" si="2"/>
        <v>1061</v>
      </c>
      <c r="BP14" s="206">
        <f t="shared" si="2"/>
        <v>93</v>
      </c>
      <c r="BQ14" s="206">
        <f t="shared" si="2"/>
        <v>427</v>
      </c>
      <c r="BR14" s="206">
        <f t="shared" si="2"/>
        <v>561</v>
      </c>
      <c r="BS14" s="206">
        <f t="shared" si="2"/>
        <v>86</v>
      </c>
      <c r="BT14" s="206">
        <f t="shared" si="2"/>
        <v>289</v>
      </c>
      <c r="BU14" s="206">
        <f t="shared" si="2"/>
        <v>436</v>
      </c>
      <c r="BV14" s="206">
        <f t="shared" si="2"/>
        <v>383</v>
      </c>
      <c r="BW14" s="206">
        <f t="shared" si="2"/>
        <v>335</v>
      </c>
      <c r="BX14" s="206">
        <f t="shared" si="2"/>
        <v>144</v>
      </c>
      <c r="BY14" s="206">
        <f t="shared" si="2"/>
        <v>16</v>
      </c>
      <c r="BZ14" s="206">
        <f>SUM(BZ9:BZ13)</f>
        <v>9</v>
      </c>
      <c r="CA14" s="206">
        <f t="shared" si="2"/>
        <v>1</v>
      </c>
      <c r="CB14" s="206"/>
      <c r="CC14" s="203">
        <f t="shared" si="0"/>
        <v>476787</v>
      </c>
    </row>
    <row r="15" spans="1:81" s="200" customFormat="1" ht="12.75">
      <c r="A15" s="204"/>
      <c r="B15" s="207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C15" s="203"/>
    </row>
    <row r="16" spans="1:81" s="200" customFormat="1" ht="12.75">
      <c r="A16" s="199" t="s">
        <v>312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C16" s="203"/>
    </row>
    <row r="17" spans="2:81" s="200" customFormat="1" ht="12.75">
      <c r="B17" s="201" t="s">
        <v>469</v>
      </c>
      <c r="C17" s="202">
        <v>193</v>
      </c>
      <c r="D17" s="202">
        <v>0</v>
      </c>
      <c r="E17" s="202">
        <v>0</v>
      </c>
      <c r="F17" s="202">
        <v>0</v>
      </c>
      <c r="G17" s="202">
        <v>0</v>
      </c>
      <c r="H17" s="202">
        <v>1761</v>
      </c>
      <c r="I17" s="202">
        <v>1070</v>
      </c>
      <c r="J17" s="202">
        <v>0</v>
      </c>
      <c r="K17" s="202">
        <v>1703</v>
      </c>
      <c r="L17" s="202">
        <v>0</v>
      </c>
      <c r="M17" s="202">
        <v>0</v>
      </c>
      <c r="N17" s="202">
        <v>0</v>
      </c>
      <c r="O17" s="202">
        <v>351</v>
      </c>
      <c r="P17" s="202">
        <v>0</v>
      </c>
      <c r="Q17" s="202">
        <v>0</v>
      </c>
      <c r="R17" s="202">
        <v>0</v>
      </c>
      <c r="S17" s="202">
        <v>21</v>
      </c>
      <c r="T17" s="202">
        <v>0</v>
      </c>
      <c r="U17" s="202">
        <v>0</v>
      </c>
      <c r="V17" s="202">
        <v>34</v>
      </c>
      <c r="W17" s="202">
        <v>0</v>
      </c>
      <c r="X17" s="202">
        <v>3</v>
      </c>
      <c r="Y17" s="202">
        <v>8</v>
      </c>
      <c r="Z17" s="202">
        <v>45</v>
      </c>
      <c r="AA17" s="202">
        <v>1</v>
      </c>
      <c r="AB17" s="202">
        <v>0</v>
      </c>
      <c r="AC17" s="202">
        <v>256</v>
      </c>
      <c r="AD17" s="202">
        <v>0</v>
      </c>
      <c r="AE17" s="202">
        <v>306</v>
      </c>
      <c r="AF17" s="202">
        <v>1997</v>
      </c>
      <c r="AG17" s="202">
        <v>11</v>
      </c>
      <c r="AH17" s="202">
        <v>49</v>
      </c>
      <c r="AI17" s="202">
        <v>1</v>
      </c>
      <c r="AJ17" s="202">
        <v>0</v>
      </c>
      <c r="AK17" s="202">
        <v>6</v>
      </c>
      <c r="AL17" s="202">
        <v>0</v>
      </c>
      <c r="AM17" s="202">
        <v>15</v>
      </c>
      <c r="AN17" s="202">
        <v>0</v>
      </c>
      <c r="AO17" s="202">
        <v>36</v>
      </c>
      <c r="AP17" s="202">
        <v>551</v>
      </c>
      <c r="AQ17" s="202">
        <v>0</v>
      </c>
      <c r="AR17" s="202">
        <v>0</v>
      </c>
      <c r="AS17" s="202">
        <v>0</v>
      </c>
      <c r="AT17" s="202">
        <v>0</v>
      </c>
      <c r="AU17" s="202">
        <v>22</v>
      </c>
      <c r="AV17" s="202">
        <v>0</v>
      </c>
      <c r="AW17" s="202">
        <v>0</v>
      </c>
      <c r="AX17" s="202">
        <v>0</v>
      </c>
      <c r="AY17" s="202">
        <v>7</v>
      </c>
      <c r="AZ17" s="202">
        <v>1</v>
      </c>
      <c r="BA17" s="202"/>
      <c r="BB17" s="202">
        <v>13</v>
      </c>
      <c r="BC17" s="202">
        <v>1539</v>
      </c>
      <c r="BD17" s="202">
        <v>1</v>
      </c>
      <c r="BE17" s="202">
        <v>1</v>
      </c>
      <c r="BF17" s="202">
        <v>0</v>
      </c>
      <c r="BG17" s="202">
        <v>0</v>
      </c>
      <c r="BH17" s="202">
        <v>844</v>
      </c>
      <c r="BI17" s="202">
        <v>0</v>
      </c>
      <c r="BJ17" s="202">
        <v>0</v>
      </c>
      <c r="BK17" s="202">
        <v>1</v>
      </c>
      <c r="BL17" s="202">
        <v>0</v>
      </c>
      <c r="BM17" s="202">
        <v>0</v>
      </c>
      <c r="BN17" s="202">
        <v>0</v>
      </c>
      <c r="BO17" s="202">
        <v>0</v>
      </c>
      <c r="BP17" s="202"/>
      <c r="BQ17" s="202">
        <v>0</v>
      </c>
      <c r="BR17" s="202">
        <v>6</v>
      </c>
      <c r="BS17" s="202">
        <v>0</v>
      </c>
      <c r="BT17" s="202">
        <v>0</v>
      </c>
      <c r="BU17" s="202">
        <v>0</v>
      </c>
      <c r="BV17" s="202">
        <v>2</v>
      </c>
      <c r="BW17" s="202">
        <v>0</v>
      </c>
      <c r="BX17" s="202">
        <v>0</v>
      </c>
      <c r="BY17" s="202">
        <v>0</v>
      </c>
      <c r="BZ17" s="202">
        <v>0</v>
      </c>
      <c r="CA17" s="202">
        <v>0</v>
      </c>
      <c r="CC17" s="203">
        <f aca="true" t="shared" si="3" ref="CC17:CC39">SUM(C17:CB17)</f>
        <v>10855</v>
      </c>
    </row>
    <row r="18" spans="2:81" s="200" customFormat="1" ht="12.75">
      <c r="B18" s="201" t="s">
        <v>470</v>
      </c>
      <c r="C18" s="202">
        <v>3112</v>
      </c>
      <c r="D18" s="202">
        <v>1214</v>
      </c>
      <c r="E18" s="202">
        <v>0</v>
      </c>
      <c r="F18" s="202">
        <v>0</v>
      </c>
      <c r="G18" s="202">
        <v>0</v>
      </c>
      <c r="H18" s="202">
        <v>538</v>
      </c>
      <c r="I18" s="202">
        <v>854</v>
      </c>
      <c r="J18" s="202">
        <v>0</v>
      </c>
      <c r="K18" s="202">
        <v>380</v>
      </c>
      <c r="L18" s="202">
        <v>0</v>
      </c>
      <c r="M18" s="202">
        <v>0</v>
      </c>
      <c r="N18" s="202">
        <v>0</v>
      </c>
      <c r="O18" s="202">
        <v>663</v>
      </c>
      <c r="P18" s="202">
        <v>0</v>
      </c>
      <c r="Q18" s="202">
        <v>1</v>
      </c>
      <c r="R18" s="202">
        <v>21</v>
      </c>
      <c r="S18" s="202">
        <v>75</v>
      </c>
      <c r="T18" s="202">
        <v>0</v>
      </c>
      <c r="U18" s="202">
        <v>0</v>
      </c>
      <c r="V18" s="202">
        <v>252</v>
      </c>
      <c r="W18" s="202">
        <v>0</v>
      </c>
      <c r="X18" s="202">
        <v>49</v>
      </c>
      <c r="Y18" s="202">
        <v>25</v>
      </c>
      <c r="Z18" s="202">
        <v>152</v>
      </c>
      <c r="AA18" s="202">
        <v>12</v>
      </c>
      <c r="AB18" s="202">
        <v>0</v>
      </c>
      <c r="AC18" s="202">
        <v>169</v>
      </c>
      <c r="AD18" s="202">
        <v>0</v>
      </c>
      <c r="AE18" s="202">
        <v>2</v>
      </c>
      <c r="AF18" s="202">
        <v>22</v>
      </c>
      <c r="AG18" s="202">
        <v>48</v>
      </c>
      <c r="AH18" s="202">
        <v>175</v>
      </c>
      <c r="AI18" s="202">
        <v>33</v>
      </c>
      <c r="AJ18" s="202">
        <v>0</v>
      </c>
      <c r="AK18" s="202">
        <v>354</v>
      </c>
      <c r="AL18" s="202">
        <v>48</v>
      </c>
      <c r="AM18" s="202">
        <v>314</v>
      </c>
      <c r="AN18" s="202">
        <v>119</v>
      </c>
      <c r="AO18" s="202">
        <v>137</v>
      </c>
      <c r="AP18" s="202">
        <v>299</v>
      </c>
      <c r="AQ18" s="202">
        <v>212</v>
      </c>
      <c r="AR18" s="202">
        <v>0</v>
      </c>
      <c r="AS18" s="202">
        <v>0</v>
      </c>
      <c r="AT18" s="202">
        <v>0</v>
      </c>
      <c r="AU18" s="202">
        <v>125</v>
      </c>
      <c r="AV18" s="202">
        <v>0</v>
      </c>
      <c r="AW18" s="202">
        <v>0</v>
      </c>
      <c r="AX18" s="202">
        <v>9</v>
      </c>
      <c r="AY18" s="202">
        <v>22</v>
      </c>
      <c r="AZ18" s="202">
        <v>27</v>
      </c>
      <c r="BA18" s="202"/>
      <c r="BB18" s="202">
        <v>43</v>
      </c>
      <c r="BC18" s="202">
        <v>234</v>
      </c>
      <c r="BD18" s="202">
        <v>119</v>
      </c>
      <c r="BE18" s="202">
        <v>61</v>
      </c>
      <c r="BF18" s="202">
        <v>14</v>
      </c>
      <c r="BG18" s="202">
        <v>36</v>
      </c>
      <c r="BH18" s="202">
        <v>1</v>
      </c>
      <c r="BI18" s="202">
        <v>0</v>
      </c>
      <c r="BJ18" s="202">
        <v>57</v>
      </c>
      <c r="BK18" s="202">
        <v>19</v>
      </c>
      <c r="BL18" s="202">
        <v>5</v>
      </c>
      <c r="BM18" s="202">
        <v>23</v>
      </c>
      <c r="BN18" s="202">
        <v>13</v>
      </c>
      <c r="BO18" s="202">
        <v>4</v>
      </c>
      <c r="BP18" s="202"/>
      <c r="BQ18" s="202">
        <v>11</v>
      </c>
      <c r="BR18" s="202">
        <v>3</v>
      </c>
      <c r="BS18" s="202">
        <v>68</v>
      </c>
      <c r="BT18" s="202">
        <v>0</v>
      </c>
      <c r="BU18" s="202">
        <v>1</v>
      </c>
      <c r="BV18" s="202">
        <v>0</v>
      </c>
      <c r="BW18" s="202">
        <v>0</v>
      </c>
      <c r="BX18" s="202">
        <v>0</v>
      </c>
      <c r="BY18" s="202">
        <v>0</v>
      </c>
      <c r="BZ18" s="202">
        <v>0</v>
      </c>
      <c r="CA18" s="202">
        <v>0</v>
      </c>
      <c r="CC18" s="203">
        <f t="shared" si="3"/>
        <v>10175</v>
      </c>
    </row>
    <row r="19" spans="2:81" s="200" customFormat="1" ht="12.75">
      <c r="B19" s="201" t="s">
        <v>471</v>
      </c>
      <c r="C19" s="202">
        <v>1536</v>
      </c>
      <c r="D19" s="202">
        <v>605</v>
      </c>
      <c r="E19" s="202">
        <v>0</v>
      </c>
      <c r="F19" s="202">
        <v>0</v>
      </c>
      <c r="G19" s="202">
        <v>0</v>
      </c>
      <c r="H19" s="202">
        <v>4744</v>
      </c>
      <c r="I19" s="202">
        <v>773</v>
      </c>
      <c r="J19" s="202">
        <v>0</v>
      </c>
      <c r="K19" s="202">
        <v>2103</v>
      </c>
      <c r="L19" s="202">
        <v>0</v>
      </c>
      <c r="M19" s="202">
        <v>1</v>
      </c>
      <c r="N19" s="202">
        <v>0</v>
      </c>
      <c r="O19" s="202">
        <v>655</v>
      </c>
      <c r="P19" s="202">
        <v>1</v>
      </c>
      <c r="Q19" s="202">
        <v>167</v>
      </c>
      <c r="R19" s="202">
        <v>24</v>
      </c>
      <c r="S19" s="202">
        <v>17</v>
      </c>
      <c r="T19" s="202">
        <v>3</v>
      </c>
      <c r="U19" s="202">
        <v>0</v>
      </c>
      <c r="V19" s="202">
        <v>239</v>
      </c>
      <c r="W19" s="202">
        <v>0</v>
      </c>
      <c r="X19" s="202">
        <v>59</v>
      </c>
      <c r="Y19" s="202">
        <v>31</v>
      </c>
      <c r="Z19" s="202">
        <v>180</v>
      </c>
      <c r="AA19" s="202">
        <v>18</v>
      </c>
      <c r="AB19" s="202">
        <v>0</v>
      </c>
      <c r="AC19" s="202">
        <v>211</v>
      </c>
      <c r="AD19" s="202">
        <v>0</v>
      </c>
      <c r="AE19" s="202">
        <v>25</v>
      </c>
      <c r="AF19" s="202">
        <v>323</v>
      </c>
      <c r="AG19" s="202">
        <v>34</v>
      </c>
      <c r="AH19" s="202">
        <v>245</v>
      </c>
      <c r="AI19" s="202">
        <v>97</v>
      </c>
      <c r="AJ19" s="202">
        <v>0</v>
      </c>
      <c r="AK19" s="202">
        <v>324</v>
      </c>
      <c r="AL19" s="202">
        <v>119</v>
      </c>
      <c r="AM19" s="202">
        <v>383</v>
      </c>
      <c r="AN19" s="202">
        <v>145</v>
      </c>
      <c r="AO19" s="202">
        <v>155</v>
      </c>
      <c r="AP19" s="202">
        <v>501</v>
      </c>
      <c r="AQ19" s="202">
        <v>188</v>
      </c>
      <c r="AR19" s="202">
        <v>0</v>
      </c>
      <c r="AS19" s="202">
        <v>0</v>
      </c>
      <c r="AT19" s="202">
        <v>0</v>
      </c>
      <c r="AU19" s="202">
        <v>452</v>
      </c>
      <c r="AV19" s="202">
        <v>18</v>
      </c>
      <c r="AW19" s="202">
        <v>11</v>
      </c>
      <c r="AX19" s="202">
        <v>30</v>
      </c>
      <c r="AY19" s="202">
        <v>39</v>
      </c>
      <c r="AZ19" s="202">
        <v>21</v>
      </c>
      <c r="BA19" s="202"/>
      <c r="BB19" s="202">
        <v>283</v>
      </c>
      <c r="BC19" s="202">
        <v>0</v>
      </c>
      <c r="BD19" s="202">
        <v>138</v>
      </c>
      <c r="BE19" s="202">
        <v>126</v>
      </c>
      <c r="BF19" s="202">
        <v>111</v>
      </c>
      <c r="BG19" s="202">
        <v>33</v>
      </c>
      <c r="BH19" s="202">
        <v>13</v>
      </c>
      <c r="BI19" s="202">
        <v>0</v>
      </c>
      <c r="BJ19" s="202">
        <v>124</v>
      </c>
      <c r="BK19" s="202">
        <v>51</v>
      </c>
      <c r="BL19" s="202">
        <v>20</v>
      </c>
      <c r="BM19" s="202">
        <v>0</v>
      </c>
      <c r="BN19" s="202">
        <v>0</v>
      </c>
      <c r="BO19" s="202">
        <v>23</v>
      </c>
      <c r="BP19" s="202"/>
      <c r="BQ19" s="202">
        <v>28</v>
      </c>
      <c r="BR19" s="202">
        <v>55</v>
      </c>
      <c r="BS19" s="202">
        <v>52</v>
      </c>
      <c r="BT19" s="202">
        <v>0</v>
      </c>
      <c r="BU19" s="202">
        <v>5</v>
      </c>
      <c r="BV19" s="202">
        <v>0</v>
      </c>
      <c r="BW19" s="202">
        <v>0</v>
      </c>
      <c r="BX19" s="202">
        <v>3</v>
      </c>
      <c r="BY19" s="202">
        <v>0</v>
      </c>
      <c r="BZ19" s="202">
        <v>0</v>
      </c>
      <c r="CA19" s="202">
        <v>0</v>
      </c>
      <c r="CC19" s="203">
        <f t="shared" si="3"/>
        <v>15542</v>
      </c>
    </row>
    <row r="20" spans="2:81" s="200" customFormat="1" ht="12.75">
      <c r="B20" s="201" t="s">
        <v>547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1023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62</v>
      </c>
      <c r="P20" s="202">
        <v>0</v>
      </c>
      <c r="Q20" s="202">
        <v>87</v>
      </c>
      <c r="R20" s="202">
        <v>5</v>
      </c>
      <c r="S20" s="202">
        <v>143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21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30</v>
      </c>
      <c r="AJ20" s="202">
        <v>0</v>
      </c>
      <c r="AK20" s="202">
        <v>7</v>
      </c>
      <c r="AL20" s="202">
        <v>0</v>
      </c>
      <c r="AM20" s="202">
        <v>0</v>
      </c>
      <c r="AN20" s="202">
        <v>102</v>
      </c>
      <c r="AO20" s="202">
        <v>16</v>
      </c>
      <c r="AP20" s="202">
        <v>16</v>
      </c>
      <c r="AQ20" s="202">
        <v>69</v>
      </c>
      <c r="AR20" s="202">
        <v>3</v>
      </c>
      <c r="AS20" s="202">
        <v>0</v>
      </c>
      <c r="AT20" s="202">
        <v>0</v>
      </c>
      <c r="AU20" s="202">
        <v>30</v>
      </c>
      <c r="AV20" s="202">
        <v>31</v>
      </c>
      <c r="AW20" s="202">
        <v>9</v>
      </c>
      <c r="AX20" s="202">
        <v>29</v>
      </c>
      <c r="AY20" s="202">
        <v>43</v>
      </c>
      <c r="AZ20" s="202">
        <v>0</v>
      </c>
      <c r="BA20" s="202"/>
      <c r="BB20" s="202">
        <v>0</v>
      </c>
      <c r="BC20" s="202">
        <v>0</v>
      </c>
      <c r="BD20" s="202">
        <v>40</v>
      </c>
      <c r="BE20" s="202">
        <v>0</v>
      </c>
      <c r="BF20" s="202">
        <v>0</v>
      </c>
      <c r="BG20" s="202">
        <v>0</v>
      </c>
      <c r="BH20" s="202">
        <v>8</v>
      </c>
      <c r="BI20" s="202">
        <v>0</v>
      </c>
      <c r="BJ20" s="202">
        <v>9</v>
      </c>
      <c r="BK20" s="202">
        <v>19</v>
      </c>
      <c r="BL20" s="202">
        <v>14</v>
      </c>
      <c r="BM20" s="202">
        <v>0</v>
      </c>
      <c r="BN20" s="202">
        <v>0</v>
      </c>
      <c r="BO20" s="202">
        <v>14</v>
      </c>
      <c r="BP20" s="202">
        <v>0</v>
      </c>
      <c r="BQ20" s="202">
        <v>9</v>
      </c>
      <c r="BR20" s="202">
        <v>7</v>
      </c>
      <c r="BS20" s="202">
        <v>4</v>
      </c>
      <c r="BT20" s="202">
        <v>0</v>
      </c>
      <c r="BU20" s="202">
        <v>0</v>
      </c>
      <c r="BV20" s="202">
        <v>0</v>
      </c>
      <c r="BW20" s="202">
        <v>0</v>
      </c>
      <c r="BX20" s="202">
        <v>0</v>
      </c>
      <c r="BY20" s="202"/>
      <c r="BZ20" s="202">
        <v>0</v>
      </c>
      <c r="CA20" s="202">
        <v>0</v>
      </c>
      <c r="CC20" s="203">
        <f t="shared" si="3"/>
        <v>1850</v>
      </c>
    </row>
    <row r="21" spans="2:81" s="200" customFormat="1" ht="12.75">
      <c r="B21" s="201" t="s">
        <v>472</v>
      </c>
      <c r="C21" s="202">
        <v>2068</v>
      </c>
      <c r="D21" s="202">
        <v>1531</v>
      </c>
      <c r="E21" s="202">
        <v>0</v>
      </c>
      <c r="F21" s="202">
        <v>0</v>
      </c>
      <c r="G21" s="202">
        <v>0</v>
      </c>
      <c r="H21" s="202">
        <v>354</v>
      </c>
      <c r="I21" s="202">
        <v>1358</v>
      </c>
      <c r="J21" s="202">
        <v>0</v>
      </c>
      <c r="K21" s="202">
        <v>437</v>
      </c>
      <c r="L21" s="202">
        <v>0</v>
      </c>
      <c r="M21" s="202">
        <v>0</v>
      </c>
      <c r="N21" s="202">
        <v>0</v>
      </c>
      <c r="O21" s="202">
        <v>248</v>
      </c>
      <c r="P21" s="202">
        <v>21</v>
      </c>
      <c r="Q21" s="202">
        <v>47</v>
      </c>
      <c r="R21" s="202">
        <v>110</v>
      </c>
      <c r="S21" s="202">
        <v>400</v>
      </c>
      <c r="T21" s="202">
        <v>19</v>
      </c>
      <c r="U21" s="202">
        <v>0</v>
      </c>
      <c r="V21" s="202">
        <v>52</v>
      </c>
      <c r="W21" s="202">
        <v>0</v>
      </c>
      <c r="X21" s="202">
        <v>37</v>
      </c>
      <c r="Y21" s="202">
        <v>18</v>
      </c>
      <c r="Z21" s="202">
        <v>110</v>
      </c>
      <c r="AA21" s="202">
        <v>12</v>
      </c>
      <c r="AB21" s="202">
        <v>0</v>
      </c>
      <c r="AC21" s="202">
        <v>293</v>
      </c>
      <c r="AD21" s="202">
        <v>24</v>
      </c>
      <c r="AE21" s="202">
        <v>18</v>
      </c>
      <c r="AF21" s="202">
        <v>105</v>
      </c>
      <c r="AG21" s="202">
        <v>533</v>
      </c>
      <c r="AH21" s="202">
        <v>10</v>
      </c>
      <c r="AI21" s="202">
        <v>622</v>
      </c>
      <c r="AJ21" s="202">
        <v>0</v>
      </c>
      <c r="AK21" s="202">
        <v>74</v>
      </c>
      <c r="AL21" s="202">
        <v>335</v>
      </c>
      <c r="AM21" s="202">
        <v>253</v>
      </c>
      <c r="AN21" s="202">
        <v>197</v>
      </c>
      <c r="AO21" s="202">
        <v>106</v>
      </c>
      <c r="AP21" s="202">
        <v>64</v>
      </c>
      <c r="AQ21" s="202">
        <v>83</v>
      </c>
      <c r="AR21" s="202">
        <v>1</v>
      </c>
      <c r="AS21" s="202">
        <v>0</v>
      </c>
      <c r="AT21" s="202">
        <v>0</v>
      </c>
      <c r="AU21" s="202">
        <v>55</v>
      </c>
      <c r="AV21" s="202">
        <v>0</v>
      </c>
      <c r="AW21" s="202">
        <v>13</v>
      </c>
      <c r="AX21" s="202">
        <v>33</v>
      </c>
      <c r="AY21" s="202">
        <v>56</v>
      </c>
      <c r="AZ21" s="202">
        <v>17</v>
      </c>
      <c r="BA21" s="202"/>
      <c r="BB21" s="202">
        <v>95</v>
      </c>
      <c r="BC21" s="202">
        <v>0</v>
      </c>
      <c r="BD21" s="202">
        <v>50</v>
      </c>
      <c r="BE21" s="202">
        <v>28</v>
      </c>
      <c r="BF21" s="202">
        <v>30</v>
      </c>
      <c r="BG21" s="202">
        <v>0</v>
      </c>
      <c r="BH21" s="202">
        <v>56</v>
      </c>
      <c r="BI21" s="202">
        <v>0</v>
      </c>
      <c r="BJ21" s="202">
        <v>11</v>
      </c>
      <c r="BK21" s="202">
        <v>31</v>
      </c>
      <c r="BL21" s="202">
        <v>25</v>
      </c>
      <c r="BM21" s="202">
        <v>83</v>
      </c>
      <c r="BN21" s="202">
        <v>46</v>
      </c>
      <c r="BO21" s="202">
        <v>21</v>
      </c>
      <c r="BP21" s="202">
        <v>13</v>
      </c>
      <c r="BQ21" s="202">
        <v>7</v>
      </c>
      <c r="BR21" s="202">
        <v>10</v>
      </c>
      <c r="BS21" s="202">
        <v>30</v>
      </c>
      <c r="BT21" s="202">
        <v>11</v>
      </c>
      <c r="BU21" s="202">
        <v>7</v>
      </c>
      <c r="BV21" s="202">
        <v>0</v>
      </c>
      <c r="BW21" s="202">
        <v>0</v>
      </c>
      <c r="BX21" s="202">
        <v>3</v>
      </c>
      <c r="BY21" s="202">
        <v>0</v>
      </c>
      <c r="BZ21" s="202">
        <v>0</v>
      </c>
      <c r="CA21" s="202">
        <v>0</v>
      </c>
      <c r="CC21" s="203">
        <f t="shared" si="3"/>
        <v>10271</v>
      </c>
    </row>
    <row r="22" spans="2:81" s="200" customFormat="1" ht="12.75">
      <c r="B22" s="201" t="s">
        <v>473</v>
      </c>
      <c r="C22" s="202">
        <v>17896</v>
      </c>
      <c r="D22" s="202">
        <v>7732</v>
      </c>
      <c r="E22" s="202">
        <v>0</v>
      </c>
      <c r="F22" s="202">
        <v>0</v>
      </c>
      <c r="G22" s="202">
        <v>0</v>
      </c>
      <c r="H22" s="202">
        <v>23516</v>
      </c>
      <c r="I22" s="202">
        <v>6866</v>
      </c>
      <c r="J22" s="202">
        <v>0</v>
      </c>
      <c r="K22" s="202">
        <v>2241</v>
      </c>
      <c r="L22" s="202">
        <v>0</v>
      </c>
      <c r="M22" s="202">
        <v>0</v>
      </c>
      <c r="N22" s="202">
        <v>0</v>
      </c>
      <c r="O22" s="202">
        <v>7940</v>
      </c>
      <c r="P22" s="202">
        <v>339</v>
      </c>
      <c r="Q22" s="202">
        <v>1273</v>
      </c>
      <c r="R22" s="202">
        <v>0</v>
      </c>
      <c r="S22" s="202">
        <v>81</v>
      </c>
      <c r="T22" s="202">
        <v>0</v>
      </c>
      <c r="U22" s="202">
        <v>0</v>
      </c>
      <c r="V22" s="202">
        <v>1061</v>
      </c>
      <c r="W22" s="202">
        <v>0</v>
      </c>
      <c r="X22" s="202">
        <v>357</v>
      </c>
      <c r="Y22" s="202">
        <v>211</v>
      </c>
      <c r="Z22" s="202">
        <v>1129</v>
      </c>
      <c r="AA22" s="202">
        <v>91</v>
      </c>
      <c r="AB22" s="202">
        <v>0</v>
      </c>
      <c r="AC22" s="202">
        <v>6228</v>
      </c>
      <c r="AD22" s="202">
        <v>315</v>
      </c>
      <c r="AE22" s="202">
        <v>840</v>
      </c>
      <c r="AF22" s="202">
        <v>1274</v>
      </c>
      <c r="AG22" s="202">
        <v>2596</v>
      </c>
      <c r="AH22" s="202">
        <v>1997</v>
      </c>
      <c r="AI22" s="202">
        <v>1042</v>
      </c>
      <c r="AJ22" s="202">
        <v>0</v>
      </c>
      <c r="AK22" s="202">
        <v>591</v>
      </c>
      <c r="AL22" s="202">
        <v>4087</v>
      </c>
      <c r="AM22" s="202">
        <v>1599</v>
      </c>
      <c r="AN22" s="202">
        <v>1061</v>
      </c>
      <c r="AO22" s="202">
        <v>0</v>
      </c>
      <c r="AP22" s="202">
        <v>743</v>
      </c>
      <c r="AQ22" s="202">
        <v>1681</v>
      </c>
      <c r="AR22" s="202">
        <v>0</v>
      </c>
      <c r="AS22" s="202">
        <v>0</v>
      </c>
      <c r="AT22" s="202">
        <v>0</v>
      </c>
      <c r="AU22" s="202">
        <v>4</v>
      </c>
      <c r="AV22" s="202">
        <v>1742</v>
      </c>
      <c r="AW22" s="202">
        <v>0</v>
      </c>
      <c r="AX22" s="202">
        <v>0</v>
      </c>
      <c r="AY22" s="202">
        <v>0</v>
      </c>
      <c r="AZ22" s="202">
        <v>1</v>
      </c>
      <c r="BA22" s="202"/>
      <c r="BB22" s="202">
        <v>1185</v>
      </c>
      <c r="BC22" s="202">
        <v>371</v>
      </c>
      <c r="BD22" s="202">
        <v>663</v>
      </c>
      <c r="BE22" s="202">
        <v>0</v>
      </c>
      <c r="BF22" s="202">
        <v>77</v>
      </c>
      <c r="BG22" s="202">
        <v>4</v>
      </c>
      <c r="BH22" s="202">
        <v>15</v>
      </c>
      <c r="BI22" s="202">
        <v>0</v>
      </c>
      <c r="BJ22" s="202">
        <v>59</v>
      </c>
      <c r="BK22" s="202">
        <v>35</v>
      </c>
      <c r="BL22" s="202">
        <v>67</v>
      </c>
      <c r="BM22" s="202">
        <v>473</v>
      </c>
      <c r="BN22" s="202">
        <v>341</v>
      </c>
      <c r="BO22" s="202">
        <v>19</v>
      </c>
      <c r="BP22" s="202"/>
      <c r="BQ22" s="202">
        <v>62</v>
      </c>
      <c r="BR22" s="202">
        <v>0</v>
      </c>
      <c r="BS22" s="202">
        <v>5</v>
      </c>
      <c r="BT22" s="202">
        <v>82</v>
      </c>
      <c r="BU22" s="202">
        <v>1</v>
      </c>
      <c r="BV22" s="202">
        <v>24</v>
      </c>
      <c r="BW22" s="202">
        <v>12</v>
      </c>
      <c r="BX22" s="202">
        <v>5</v>
      </c>
      <c r="BY22" s="202">
        <v>27</v>
      </c>
      <c r="BZ22" s="202">
        <v>0</v>
      </c>
      <c r="CA22" s="202">
        <v>3</v>
      </c>
      <c r="CC22" s="203">
        <f t="shared" si="3"/>
        <v>100064</v>
      </c>
    </row>
    <row r="23" spans="2:81" s="204" customFormat="1" ht="13.5">
      <c r="B23" s="205" t="s">
        <v>407</v>
      </c>
      <c r="C23" s="206">
        <f>SUM(C17:C22)</f>
        <v>24805</v>
      </c>
      <c r="D23" s="206">
        <f>SUM(D17:D22)</f>
        <v>11082</v>
      </c>
      <c r="E23" s="206">
        <f aca="true" t="shared" si="4" ref="E23:BI23">SUM(E17:E22)</f>
        <v>0</v>
      </c>
      <c r="F23" s="206">
        <f t="shared" si="4"/>
        <v>0</v>
      </c>
      <c r="G23" s="206">
        <f t="shared" si="4"/>
        <v>0</v>
      </c>
      <c r="H23" s="206">
        <f>SUM(H17:H22)</f>
        <v>30913</v>
      </c>
      <c r="I23" s="206">
        <f t="shared" si="4"/>
        <v>11944</v>
      </c>
      <c r="J23" s="206">
        <f t="shared" si="4"/>
        <v>0</v>
      </c>
      <c r="K23" s="206">
        <f t="shared" si="4"/>
        <v>6864</v>
      </c>
      <c r="L23" s="206">
        <f t="shared" si="4"/>
        <v>0</v>
      </c>
      <c r="M23" s="206">
        <f t="shared" si="4"/>
        <v>1</v>
      </c>
      <c r="N23" s="206">
        <f t="shared" si="4"/>
        <v>0</v>
      </c>
      <c r="O23" s="206">
        <f t="shared" si="4"/>
        <v>9919</v>
      </c>
      <c r="P23" s="206">
        <f t="shared" si="4"/>
        <v>361</v>
      </c>
      <c r="Q23" s="206">
        <f t="shared" si="4"/>
        <v>1575</v>
      </c>
      <c r="R23" s="206">
        <f>SUM(R17:R22)</f>
        <v>160</v>
      </c>
      <c r="S23" s="206">
        <f>SUM(S17:S22)</f>
        <v>737</v>
      </c>
      <c r="T23" s="206">
        <f>SUM(T17:T22)</f>
        <v>22</v>
      </c>
      <c r="U23" s="206">
        <f>SUM(U17:U22)</f>
        <v>0</v>
      </c>
      <c r="V23" s="206">
        <f t="shared" si="4"/>
        <v>1638</v>
      </c>
      <c r="W23" s="206">
        <f t="shared" si="4"/>
        <v>0</v>
      </c>
      <c r="X23" s="206">
        <f t="shared" si="4"/>
        <v>505</v>
      </c>
      <c r="Y23" s="206">
        <f t="shared" si="4"/>
        <v>293</v>
      </c>
      <c r="Z23" s="206">
        <f t="shared" si="4"/>
        <v>1616</v>
      </c>
      <c r="AA23" s="206">
        <f t="shared" si="4"/>
        <v>134</v>
      </c>
      <c r="AB23" s="206">
        <f t="shared" si="4"/>
        <v>0</v>
      </c>
      <c r="AC23" s="206">
        <f t="shared" si="4"/>
        <v>7178</v>
      </c>
      <c r="AD23" s="206">
        <f t="shared" si="4"/>
        <v>339</v>
      </c>
      <c r="AE23" s="206">
        <f t="shared" si="4"/>
        <v>1191</v>
      </c>
      <c r="AF23" s="206">
        <f t="shared" si="4"/>
        <v>3721</v>
      </c>
      <c r="AG23" s="206">
        <f t="shared" si="4"/>
        <v>3222</v>
      </c>
      <c r="AH23" s="206">
        <f>SUM(AH17:AH22)</f>
        <v>2476</v>
      </c>
      <c r="AI23" s="206">
        <f t="shared" si="4"/>
        <v>1825</v>
      </c>
      <c r="AJ23" s="206">
        <f t="shared" si="4"/>
        <v>0</v>
      </c>
      <c r="AK23" s="206">
        <f t="shared" si="4"/>
        <v>1356</v>
      </c>
      <c r="AL23" s="206">
        <f t="shared" si="4"/>
        <v>4589</v>
      </c>
      <c r="AM23" s="206">
        <f>SUM(AM17:AM22)</f>
        <v>2564</v>
      </c>
      <c r="AN23" s="206">
        <f t="shared" si="4"/>
        <v>1624</v>
      </c>
      <c r="AO23" s="206">
        <f t="shared" si="4"/>
        <v>450</v>
      </c>
      <c r="AP23" s="206">
        <f t="shared" si="4"/>
        <v>2174</v>
      </c>
      <c r="AQ23" s="206">
        <f>SUM(AQ17:AQ22)</f>
        <v>2233</v>
      </c>
      <c r="AR23" s="206">
        <f>SUM(AR17:AR22)</f>
        <v>4</v>
      </c>
      <c r="AS23" s="206">
        <f>SUM(AS17:AS22)</f>
        <v>0</v>
      </c>
      <c r="AT23" s="206">
        <f>SUM(AT17:AT22)</f>
        <v>0</v>
      </c>
      <c r="AU23" s="206">
        <f>SUM(AU17:AU22)</f>
        <v>688</v>
      </c>
      <c r="AV23" s="206">
        <f t="shared" si="4"/>
        <v>1791</v>
      </c>
      <c r="AW23" s="206">
        <f>SUM(AW17:AW22)</f>
        <v>33</v>
      </c>
      <c r="AX23" s="206">
        <f>SUM(AX17:AX22)</f>
        <v>101</v>
      </c>
      <c r="AY23" s="206">
        <f>SUM(AY17:AY22)</f>
        <v>167</v>
      </c>
      <c r="AZ23" s="206">
        <f>SUM(AZ17:AZ22)</f>
        <v>67</v>
      </c>
      <c r="BA23" s="206">
        <f>SUM(BA17:BA22)</f>
        <v>0</v>
      </c>
      <c r="BB23" s="206">
        <f t="shared" si="4"/>
        <v>1619</v>
      </c>
      <c r="BC23" s="206">
        <f t="shared" si="4"/>
        <v>2144</v>
      </c>
      <c r="BD23" s="206">
        <f t="shared" si="4"/>
        <v>1011</v>
      </c>
      <c r="BE23" s="206">
        <f>SUM(BE17:BE22)</f>
        <v>216</v>
      </c>
      <c r="BF23" s="206">
        <f t="shared" si="4"/>
        <v>232</v>
      </c>
      <c r="BG23" s="206">
        <f t="shared" si="4"/>
        <v>73</v>
      </c>
      <c r="BH23" s="206">
        <f t="shared" si="4"/>
        <v>937</v>
      </c>
      <c r="BI23" s="206">
        <f t="shared" si="4"/>
        <v>0</v>
      </c>
      <c r="BJ23" s="206">
        <f aca="true" t="shared" si="5" ref="BJ23:CA23">SUM(BJ17:BJ22)</f>
        <v>260</v>
      </c>
      <c r="BK23" s="206">
        <f t="shared" si="5"/>
        <v>156</v>
      </c>
      <c r="BL23" s="206">
        <f>SUM(BL17:BL22)</f>
        <v>131</v>
      </c>
      <c r="BM23" s="206">
        <f t="shared" si="5"/>
        <v>579</v>
      </c>
      <c r="BN23" s="206">
        <f t="shared" si="5"/>
        <v>400</v>
      </c>
      <c r="BO23" s="206">
        <f t="shared" si="5"/>
        <v>81</v>
      </c>
      <c r="BP23" s="206">
        <f t="shared" si="5"/>
        <v>13</v>
      </c>
      <c r="BQ23" s="206">
        <f t="shared" si="5"/>
        <v>117</v>
      </c>
      <c r="BR23" s="206">
        <f t="shared" si="5"/>
        <v>81</v>
      </c>
      <c r="BS23" s="206">
        <f t="shared" si="5"/>
        <v>159</v>
      </c>
      <c r="BT23" s="206">
        <f t="shared" si="5"/>
        <v>93</v>
      </c>
      <c r="BU23" s="206">
        <f t="shared" si="5"/>
        <v>14</v>
      </c>
      <c r="BV23" s="206">
        <f t="shared" si="5"/>
        <v>26</v>
      </c>
      <c r="BW23" s="206">
        <f t="shared" si="5"/>
        <v>12</v>
      </c>
      <c r="BX23" s="206">
        <f t="shared" si="5"/>
        <v>11</v>
      </c>
      <c r="BY23" s="206">
        <f t="shared" si="5"/>
        <v>27</v>
      </c>
      <c r="BZ23" s="206">
        <f>SUM(BZ17:BZ22)</f>
        <v>0</v>
      </c>
      <c r="CA23" s="206">
        <f t="shared" si="5"/>
        <v>3</v>
      </c>
      <c r="CB23" s="206"/>
      <c r="CC23" s="203">
        <f t="shared" si="3"/>
        <v>148757</v>
      </c>
    </row>
    <row r="24" spans="2:81" s="200" customFormat="1" ht="12.75">
      <c r="B24" s="207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C24" s="203"/>
    </row>
    <row r="25" spans="1:81" s="200" customFormat="1" ht="12.75">
      <c r="A25" s="199" t="s">
        <v>313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C25" s="203"/>
    </row>
    <row r="26" spans="2:81" s="200" customFormat="1" ht="12.75">
      <c r="B26" s="201" t="s">
        <v>314</v>
      </c>
      <c r="C26" s="202">
        <v>46901.5</v>
      </c>
      <c r="D26" s="202">
        <v>22522</v>
      </c>
      <c r="E26" s="202">
        <v>835</v>
      </c>
      <c r="F26" s="202">
        <v>119</v>
      </c>
      <c r="G26" s="202">
        <v>0</v>
      </c>
      <c r="H26" s="202">
        <v>61783</v>
      </c>
      <c r="I26" s="202">
        <v>26927</v>
      </c>
      <c r="J26" s="202">
        <v>210</v>
      </c>
      <c r="K26" s="202">
        <v>25655</v>
      </c>
      <c r="L26" s="202">
        <v>30</v>
      </c>
      <c r="M26" s="202">
        <v>2</v>
      </c>
      <c r="N26" s="202">
        <v>0</v>
      </c>
      <c r="O26" s="202">
        <v>21787</v>
      </c>
      <c r="P26" s="202">
        <v>96</v>
      </c>
      <c r="Q26" s="202">
        <v>13377</v>
      </c>
      <c r="R26" s="202">
        <v>1954</v>
      </c>
      <c r="S26" s="202">
        <v>9657</v>
      </c>
      <c r="T26" s="202">
        <v>272</v>
      </c>
      <c r="U26" s="202">
        <v>0</v>
      </c>
      <c r="V26" s="202">
        <v>10319</v>
      </c>
      <c r="W26" s="202">
        <v>54</v>
      </c>
      <c r="X26" s="202">
        <v>2621</v>
      </c>
      <c r="Y26" s="202">
        <v>2487</v>
      </c>
      <c r="Z26" s="202">
        <v>7752</v>
      </c>
      <c r="AA26" s="202">
        <v>306</v>
      </c>
      <c r="AB26" s="202">
        <v>0</v>
      </c>
      <c r="AC26" s="202">
        <v>7675</v>
      </c>
      <c r="AD26" s="202">
        <v>51</v>
      </c>
      <c r="AE26" s="202">
        <v>1351</v>
      </c>
      <c r="AF26" s="202">
        <v>2715</v>
      </c>
      <c r="AG26" s="202">
        <v>6998</v>
      </c>
      <c r="AH26" s="202">
        <v>6695</v>
      </c>
      <c r="AI26" s="202">
        <v>6220</v>
      </c>
      <c r="AJ26" s="202">
        <v>24</v>
      </c>
      <c r="AK26" s="202">
        <v>4908</v>
      </c>
      <c r="AL26" s="202">
        <v>5053</v>
      </c>
      <c r="AM26" s="202">
        <v>6413</v>
      </c>
      <c r="AN26" s="202">
        <v>2419</v>
      </c>
      <c r="AO26" s="202">
        <v>6297</v>
      </c>
      <c r="AP26" s="202">
        <v>4282</v>
      </c>
      <c r="AQ26" s="345">
        <v>2307</v>
      </c>
      <c r="AR26" s="202">
        <v>118</v>
      </c>
      <c r="AS26" s="202">
        <v>7</v>
      </c>
      <c r="AT26" s="202">
        <v>0</v>
      </c>
      <c r="AU26" s="202">
        <v>2720</v>
      </c>
      <c r="AV26" s="202">
        <v>147</v>
      </c>
      <c r="AW26" s="202">
        <v>423</v>
      </c>
      <c r="AX26" s="202">
        <v>1875</v>
      </c>
      <c r="AY26" s="202">
        <v>1902</v>
      </c>
      <c r="AZ26" s="202">
        <v>229</v>
      </c>
      <c r="BA26" s="202">
        <v>0</v>
      </c>
      <c r="BB26" s="202">
        <v>2742</v>
      </c>
      <c r="BC26" s="202">
        <v>1778</v>
      </c>
      <c r="BD26" s="202">
        <v>2559</v>
      </c>
      <c r="BE26" s="202">
        <v>0</v>
      </c>
      <c r="BF26" s="202">
        <v>662</v>
      </c>
      <c r="BG26" s="202">
        <v>0</v>
      </c>
      <c r="BH26" s="202">
        <v>297</v>
      </c>
      <c r="BI26" s="202">
        <v>3</v>
      </c>
      <c r="BJ26" s="202">
        <v>514</v>
      </c>
      <c r="BK26" s="202">
        <v>457</v>
      </c>
      <c r="BL26" s="202">
        <v>482</v>
      </c>
      <c r="BM26" s="202">
        <v>238</v>
      </c>
      <c r="BN26" s="202">
        <v>410</v>
      </c>
      <c r="BO26" s="202">
        <v>334</v>
      </c>
      <c r="BP26" s="202">
        <v>0</v>
      </c>
      <c r="BQ26" s="202">
        <v>402</v>
      </c>
      <c r="BR26" s="202">
        <v>61</v>
      </c>
      <c r="BS26" s="202">
        <v>2</v>
      </c>
      <c r="BT26" s="202">
        <v>144</v>
      </c>
      <c r="BU26" s="202">
        <v>67</v>
      </c>
      <c r="BV26" s="202">
        <v>0</v>
      </c>
      <c r="BW26" s="202">
        <v>6</v>
      </c>
      <c r="BX26" s="202">
        <v>0</v>
      </c>
      <c r="BY26" s="202">
        <v>0</v>
      </c>
      <c r="BZ26" s="202">
        <v>0</v>
      </c>
      <c r="CA26" s="202">
        <v>0</v>
      </c>
      <c r="CC26" s="203">
        <f t="shared" si="3"/>
        <v>337653.5</v>
      </c>
    </row>
    <row r="27" spans="2:81" s="200" customFormat="1" ht="12.75">
      <c r="B27" s="201" t="s">
        <v>500</v>
      </c>
      <c r="C27" s="202">
        <v>0.5</v>
      </c>
      <c r="D27" s="202">
        <v>0</v>
      </c>
      <c r="E27" s="202">
        <v>0</v>
      </c>
      <c r="F27" s="202">
        <v>0</v>
      </c>
      <c r="G27" s="202">
        <v>0</v>
      </c>
      <c r="H27" s="202">
        <v>10</v>
      </c>
      <c r="I27" s="202">
        <v>44</v>
      </c>
      <c r="J27" s="202">
        <v>0</v>
      </c>
      <c r="K27" s="202">
        <v>47</v>
      </c>
      <c r="L27" s="202">
        <v>0</v>
      </c>
      <c r="M27" s="202">
        <v>0</v>
      </c>
      <c r="N27" s="202">
        <v>0</v>
      </c>
      <c r="O27" s="202">
        <v>112</v>
      </c>
      <c r="P27" s="202">
        <v>0</v>
      </c>
      <c r="Q27" s="202">
        <v>399</v>
      </c>
      <c r="R27" s="202">
        <v>2</v>
      </c>
      <c r="S27" s="202">
        <v>8</v>
      </c>
      <c r="T27" s="202">
        <v>0</v>
      </c>
      <c r="U27" s="202">
        <v>0</v>
      </c>
      <c r="V27" s="202">
        <v>1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44</v>
      </c>
      <c r="AD27" s="202">
        <v>0</v>
      </c>
      <c r="AE27" s="202">
        <v>3</v>
      </c>
      <c r="AF27" s="202">
        <v>1</v>
      </c>
      <c r="AG27" s="202">
        <v>809</v>
      </c>
      <c r="AH27" s="202">
        <v>76</v>
      </c>
      <c r="AI27" s="202">
        <v>147</v>
      </c>
      <c r="AJ27" s="202">
        <v>0</v>
      </c>
      <c r="AK27" s="202">
        <v>103</v>
      </c>
      <c r="AL27" s="202">
        <v>0</v>
      </c>
      <c r="AM27" s="202">
        <v>0</v>
      </c>
      <c r="AN27" s="202">
        <v>529</v>
      </c>
      <c r="AO27" s="202">
        <v>53</v>
      </c>
      <c r="AP27" s="202">
        <v>15</v>
      </c>
      <c r="AQ27" s="202">
        <v>3</v>
      </c>
      <c r="AR27" s="202">
        <v>0</v>
      </c>
      <c r="AS27" s="202">
        <v>0</v>
      </c>
      <c r="AT27" s="202">
        <v>0</v>
      </c>
      <c r="AU27" s="202">
        <v>4</v>
      </c>
      <c r="AV27" s="202">
        <v>0</v>
      </c>
      <c r="AW27" s="202">
        <v>1</v>
      </c>
      <c r="AX27" s="202">
        <v>2</v>
      </c>
      <c r="AY27" s="202">
        <v>3</v>
      </c>
      <c r="AZ27" s="202">
        <v>0</v>
      </c>
      <c r="BA27" s="202"/>
      <c r="BB27" s="202">
        <v>3</v>
      </c>
      <c r="BC27" s="202">
        <v>0</v>
      </c>
      <c r="BD27" s="202">
        <v>39</v>
      </c>
      <c r="BE27" s="202">
        <v>0</v>
      </c>
      <c r="BF27" s="202">
        <v>0</v>
      </c>
      <c r="BG27" s="202">
        <v>0</v>
      </c>
      <c r="BH27" s="202">
        <v>8</v>
      </c>
      <c r="BI27" s="202">
        <v>0</v>
      </c>
      <c r="BJ27" s="202">
        <v>7</v>
      </c>
      <c r="BK27" s="202">
        <v>2</v>
      </c>
      <c r="BL27" s="202">
        <v>1</v>
      </c>
      <c r="BM27" s="202">
        <v>6</v>
      </c>
      <c r="BN27" s="202">
        <v>2</v>
      </c>
      <c r="BO27" s="202">
        <v>1</v>
      </c>
      <c r="BP27" s="202"/>
      <c r="BQ27" s="202">
        <v>1</v>
      </c>
      <c r="BR27" s="202">
        <v>0</v>
      </c>
      <c r="BS27" s="202">
        <v>0</v>
      </c>
      <c r="BT27" s="202">
        <v>0</v>
      </c>
      <c r="BU27" s="202">
        <v>0</v>
      </c>
      <c r="BV27" s="202">
        <v>0</v>
      </c>
      <c r="BW27" s="202">
        <v>0</v>
      </c>
      <c r="BX27" s="202">
        <v>1</v>
      </c>
      <c r="BY27" s="202">
        <v>0</v>
      </c>
      <c r="BZ27" s="202">
        <v>0</v>
      </c>
      <c r="CA27" s="202">
        <v>10</v>
      </c>
      <c r="CC27" s="203">
        <f t="shared" si="3"/>
        <v>2497.5</v>
      </c>
    </row>
    <row r="28" spans="2:81" s="204" customFormat="1" ht="13.5">
      <c r="B28" s="205" t="s">
        <v>407</v>
      </c>
      <c r="C28" s="206">
        <f>SUM(C26:C27)</f>
        <v>46902</v>
      </c>
      <c r="D28" s="206">
        <f>SUM(D26:D27)</f>
        <v>22522</v>
      </c>
      <c r="E28" s="206">
        <f aca="true" t="shared" si="6" ref="E28:BJ28">SUM(E26:E27)</f>
        <v>835</v>
      </c>
      <c r="F28" s="206">
        <f t="shared" si="6"/>
        <v>119</v>
      </c>
      <c r="G28" s="206">
        <f t="shared" si="6"/>
        <v>0</v>
      </c>
      <c r="H28" s="206">
        <f t="shared" si="6"/>
        <v>61793</v>
      </c>
      <c r="I28" s="206">
        <f t="shared" si="6"/>
        <v>26971</v>
      </c>
      <c r="J28" s="206">
        <f t="shared" si="6"/>
        <v>210</v>
      </c>
      <c r="K28" s="206">
        <f t="shared" si="6"/>
        <v>25702</v>
      </c>
      <c r="L28" s="206">
        <f t="shared" si="6"/>
        <v>30</v>
      </c>
      <c r="M28" s="206">
        <f t="shared" si="6"/>
        <v>2</v>
      </c>
      <c r="N28" s="206">
        <f t="shared" si="6"/>
        <v>0</v>
      </c>
      <c r="O28" s="206">
        <f t="shared" si="6"/>
        <v>21899</v>
      </c>
      <c r="P28" s="206">
        <f t="shared" si="6"/>
        <v>96</v>
      </c>
      <c r="Q28" s="206">
        <f t="shared" si="6"/>
        <v>13776</v>
      </c>
      <c r="R28" s="206">
        <f>SUM(R26:R27)</f>
        <v>1956</v>
      </c>
      <c r="S28" s="206">
        <f>SUM(S26:S27)</f>
        <v>9665</v>
      </c>
      <c r="T28" s="206">
        <f>SUM(T26:T27)</f>
        <v>272</v>
      </c>
      <c r="U28" s="206">
        <f>SUM(U26:U27)</f>
        <v>0</v>
      </c>
      <c r="V28" s="206">
        <f t="shared" si="6"/>
        <v>10320</v>
      </c>
      <c r="W28" s="206">
        <f t="shared" si="6"/>
        <v>54</v>
      </c>
      <c r="X28" s="206">
        <f t="shared" si="6"/>
        <v>2621</v>
      </c>
      <c r="Y28" s="206">
        <f t="shared" si="6"/>
        <v>2487</v>
      </c>
      <c r="Z28" s="206">
        <f t="shared" si="6"/>
        <v>7752</v>
      </c>
      <c r="AA28" s="206">
        <f t="shared" si="6"/>
        <v>306</v>
      </c>
      <c r="AB28" s="206">
        <f t="shared" si="6"/>
        <v>0</v>
      </c>
      <c r="AC28" s="206">
        <f t="shared" si="6"/>
        <v>7719</v>
      </c>
      <c r="AD28" s="206">
        <f t="shared" si="6"/>
        <v>51</v>
      </c>
      <c r="AE28" s="206">
        <f t="shared" si="6"/>
        <v>1354</v>
      </c>
      <c r="AF28" s="206">
        <f t="shared" si="6"/>
        <v>2716</v>
      </c>
      <c r="AG28" s="206">
        <f t="shared" si="6"/>
        <v>7807</v>
      </c>
      <c r="AH28" s="206">
        <f>SUM(AH26:AH27)</f>
        <v>6771</v>
      </c>
      <c r="AI28" s="206">
        <f t="shared" si="6"/>
        <v>6367</v>
      </c>
      <c r="AJ28" s="206">
        <f t="shared" si="6"/>
        <v>24</v>
      </c>
      <c r="AK28" s="206">
        <f t="shared" si="6"/>
        <v>5011</v>
      </c>
      <c r="AL28" s="206">
        <f t="shared" si="6"/>
        <v>5053</v>
      </c>
      <c r="AM28" s="206">
        <f>SUM(AM26:AM27)</f>
        <v>6413</v>
      </c>
      <c r="AN28" s="206">
        <f t="shared" si="6"/>
        <v>2948</v>
      </c>
      <c r="AO28" s="206">
        <f t="shared" si="6"/>
        <v>6350</v>
      </c>
      <c r="AP28" s="206">
        <f t="shared" si="6"/>
        <v>4297</v>
      </c>
      <c r="AQ28" s="206">
        <f>SUM(AQ26:AQ27)</f>
        <v>2310</v>
      </c>
      <c r="AR28" s="206">
        <f>SUM(AR26:AR27)</f>
        <v>118</v>
      </c>
      <c r="AS28" s="206">
        <f>SUM(AS26:AS27)</f>
        <v>7</v>
      </c>
      <c r="AT28" s="206">
        <f>SUM(AT26:AT27)</f>
        <v>0</v>
      </c>
      <c r="AU28" s="206">
        <f>SUM(AU26:AU27)</f>
        <v>2724</v>
      </c>
      <c r="AV28" s="206">
        <f t="shared" si="6"/>
        <v>147</v>
      </c>
      <c r="AW28" s="206">
        <f>SUM(AW26:AW27)</f>
        <v>424</v>
      </c>
      <c r="AX28" s="206">
        <f>SUM(AX26:AX27)</f>
        <v>1877</v>
      </c>
      <c r="AY28" s="206">
        <f>SUM(AY26:AY27)</f>
        <v>1905</v>
      </c>
      <c r="AZ28" s="206">
        <f>SUM(AZ26:AZ27)</f>
        <v>229</v>
      </c>
      <c r="BA28" s="206">
        <f>SUM(BA26:BA27)</f>
        <v>0</v>
      </c>
      <c r="BB28" s="206">
        <f t="shared" si="6"/>
        <v>2745</v>
      </c>
      <c r="BC28" s="206">
        <f t="shared" si="6"/>
        <v>1778</v>
      </c>
      <c r="BD28" s="206">
        <f t="shared" si="6"/>
        <v>2598</v>
      </c>
      <c r="BE28" s="206">
        <f>SUM(BE26:BE27)</f>
        <v>0</v>
      </c>
      <c r="BF28" s="206">
        <f t="shared" si="6"/>
        <v>662</v>
      </c>
      <c r="BG28" s="206">
        <f t="shared" si="6"/>
        <v>0</v>
      </c>
      <c r="BH28" s="206">
        <f t="shared" si="6"/>
        <v>305</v>
      </c>
      <c r="BI28" s="206">
        <f t="shared" si="6"/>
        <v>3</v>
      </c>
      <c r="BJ28" s="206">
        <f t="shared" si="6"/>
        <v>521</v>
      </c>
      <c r="BK28" s="206">
        <f aca="true" t="shared" si="7" ref="BK28:CA28">SUM(BK26:BK27)</f>
        <v>459</v>
      </c>
      <c r="BL28" s="206">
        <f>SUM(BL26:BL27)</f>
        <v>483</v>
      </c>
      <c r="BM28" s="206">
        <f t="shared" si="7"/>
        <v>244</v>
      </c>
      <c r="BN28" s="206">
        <f t="shared" si="7"/>
        <v>412</v>
      </c>
      <c r="BO28" s="206">
        <f t="shared" si="7"/>
        <v>335</v>
      </c>
      <c r="BP28" s="206">
        <f t="shared" si="7"/>
        <v>0</v>
      </c>
      <c r="BQ28" s="206">
        <f t="shared" si="7"/>
        <v>403</v>
      </c>
      <c r="BR28" s="206">
        <f t="shared" si="7"/>
        <v>61</v>
      </c>
      <c r="BS28" s="206">
        <f t="shared" si="7"/>
        <v>2</v>
      </c>
      <c r="BT28" s="206">
        <f t="shared" si="7"/>
        <v>144</v>
      </c>
      <c r="BU28" s="206">
        <f t="shared" si="7"/>
        <v>67</v>
      </c>
      <c r="BV28" s="206">
        <f t="shared" si="7"/>
        <v>0</v>
      </c>
      <c r="BW28" s="206">
        <f t="shared" si="7"/>
        <v>6</v>
      </c>
      <c r="BX28" s="206">
        <f t="shared" si="7"/>
        <v>1</v>
      </c>
      <c r="BY28" s="206">
        <f t="shared" si="7"/>
        <v>0</v>
      </c>
      <c r="BZ28" s="206">
        <f>SUM(BZ26:BZ27)</f>
        <v>0</v>
      </c>
      <c r="CA28" s="206">
        <f t="shared" si="7"/>
        <v>10</v>
      </c>
      <c r="CB28" s="206"/>
      <c r="CC28" s="203">
        <f t="shared" si="3"/>
        <v>340151</v>
      </c>
    </row>
    <row r="29" spans="1:81" s="204" customFormat="1" ht="13.5">
      <c r="A29" s="204" t="s">
        <v>483</v>
      </c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3"/>
    </row>
    <row r="30" spans="2:85" s="208" customFormat="1" ht="12.75">
      <c r="B30" s="201" t="s">
        <v>482</v>
      </c>
      <c r="C30" s="202">
        <v>1517.552</v>
      </c>
      <c r="D30" s="202">
        <v>0</v>
      </c>
      <c r="E30" s="202">
        <v>35.424</v>
      </c>
      <c r="F30" s="202">
        <v>14.5624</v>
      </c>
      <c r="G30" s="202">
        <v>281.517</v>
      </c>
      <c r="H30" s="202">
        <v>4384.276</v>
      </c>
      <c r="I30" s="202">
        <v>975.4388</v>
      </c>
      <c r="J30" s="202">
        <v>33.057</v>
      </c>
      <c r="K30" s="202">
        <v>550.815</v>
      </c>
      <c r="L30" s="202">
        <v>4.656</v>
      </c>
      <c r="M30" s="202">
        <v>0.351</v>
      </c>
      <c r="N30" s="202">
        <v>22.74</v>
      </c>
      <c r="O30" s="202">
        <v>338.516</v>
      </c>
      <c r="P30" s="202">
        <v>10.603</v>
      </c>
      <c r="Q30" s="202">
        <v>1769.117</v>
      </c>
      <c r="R30" s="202">
        <v>28.282</v>
      </c>
      <c r="S30" s="202">
        <v>204.902</v>
      </c>
      <c r="T30" s="202">
        <v>8.373</v>
      </c>
      <c r="U30" s="202">
        <v>3753.678</v>
      </c>
      <c r="V30" s="202">
        <v>485.773</v>
      </c>
      <c r="W30" s="202">
        <v>0</v>
      </c>
      <c r="X30" s="202">
        <v>40.358</v>
      </c>
      <c r="Y30" s="202">
        <v>28.255819074004002</v>
      </c>
      <c r="Z30" s="202">
        <v>51.79872695365109</v>
      </c>
      <c r="AA30" s="202">
        <v>5.536014710219434</v>
      </c>
      <c r="AB30" s="202">
        <v>939.5213349999999</v>
      </c>
      <c r="AC30" s="202">
        <v>334.232</v>
      </c>
      <c r="AD30" s="202">
        <v>44.301</v>
      </c>
      <c r="AE30" s="202">
        <v>264.918</v>
      </c>
      <c r="AF30" s="202">
        <v>260.347</v>
      </c>
      <c r="AG30" s="202">
        <v>687.744</v>
      </c>
      <c r="AH30" s="202">
        <v>16.899</v>
      </c>
      <c r="AI30" s="202">
        <v>466.837</v>
      </c>
      <c r="AJ30" s="202">
        <v>0.6175</v>
      </c>
      <c r="AK30" s="202">
        <v>204.608</v>
      </c>
      <c r="AL30" s="202">
        <v>303.928</v>
      </c>
      <c r="AM30" s="202">
        <v>218.842</v>
      </c>
      <c r="AN30" s="202">
        <v>581.004</v>
      </c>
      <c r="AO30" s="202">
        <v>850.575</v>
      </c>
      <c r="AP30" s="202">
        <v>168.012</v>
      </c>
      <c r="AQ30" s="202">
        <v>978.218638</v>
      </c>
      <c r="AR30" s="202">
        <v>4.175279000000001</v>
      </c>
      <c r="AS30" s="202">
        <v>0.336</v>
      </c>
      <c r="AT30" s="202">
        <v>0</v>
      </c>
      <c r="AU30" s="202">
        <v>329.126</v>
      </c>
      <c r="AV30" s="202">
        <v>156.544623</v>
      </c>
      <c r="AW30" s="202">
        <v>0.261032</v>
      </c>
      <c r="AX30" s="202">
        <v>40.931703999999996</v>
      </c>
      <c r="AY30" s="202">
        <v>0.765753</v>
      </c>
      <c r="AZ30" s="202">
        <v>0.370322</v>
      </c>
      <c r="BA30" s="202">
        <v>159.688712</v>
      </c>
      <c r="BB30" s="202">
        <v>39.24</v>
      </c>
      <c r="BC30" s="202">
        <v>400.909559</v>
      </c>
      <c r="BD30" s="202">
        <v>242.477</v>
      </c>
      <c r="BE30" s="202">
        <v>1.15</v>
      </c>
      <c r="BF30" s="202">
        <v>21.292</v>
      </c>
      <c r="BG30" s="202">
        <v>0.195</v>
      </c>
      <c r="BH30" s="202">
        <v>484.033</v>
      </c>
      <c r="BI30" s="202">
        <v>0.258</v>
      </c>
      <c r="BJ30" s="202">
        <v>417.197</v>
      </c>
      <c r="BK30" s="202">
        <v>1.573</v>
      </c>
      <c r="BL30" s="202">
        <v>5.964</v>
      </c>
      <c r="BM30" s="202">
        <v>21.412538</v>
      </c>
      <c r="BN30" s="202">
        <v>8.437</v>
      </c>
      <c r="BO30" s="202">
        <v>1.631</v>
      </c>
      <c r="BP30" s="202">
        <v>0.01</v>
      </c>
      <c r="BQ30" s="202">
        <v>1.655</v>
      </c>
      <c r="BR30" s="202">
        <v>0.348</v>
      </c>
      <c r="BS30" s="202">
        <v>371.158182</v>
      </c>
      <c r="BT30" s="202">
        <v>66.015</v>
      </c>
      <c r="BU30" s="202">
        <v>1.671</v>
      </c>
      <c r="BV30" s="202">
        <v>47.699</v>
      </c>
      <c r="BW30" s="202">
        <v>34.286322</v>
      </c>
      <c r="BX30" s="202">
        <v>54.157</v>
      </c>
      <c r="BY30" s="202">
        <v>46.792</v>
      </c>
      <c r="BZ30" s="202">
        <v>0.05</v>
      </c>
      <c r="CA30" s="202">
        <v>43.532</v>
      </c>
      <c r="CC30" s="203">
        <f t="shared" si="3"/>
        <v>23871.52825973787</v>
      </c>
      <c r="CE30" s="344"/>
      <c r="CF30" s="344"/>
      <c r="CG30" s="344"/>
    </row>
    <row r="31" spans="2:81" s="200" customFormat="1" ht="12.75">
      <c r="B31" s="207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C31" s="203"/>
    </row>
    <row r="32" spans="2:81" s="204" customFormat="1" ht="13.5">
      <c r="B32" s="205" t="s">
        <v>474</v>
      </c>
      <c r="C32" s="206">
        <f>+SUM(C14+C23+C28+C30)</f>
        <v>122646.552</v>
      </c>
      <c r="D32" s="206">
        <f>+SUM(D14+D23+D28+D30)</f>
        <v>48669</v>
      </c>
      <c r="E32" s="206">
        <f aca="true" t="shared" si="8" ref="E32:BI32">+SUM(E14+E23+E28+E30)</f>
        <v>2317.424</v>
      </c>
      <c r="F32" s="206">
        <f t="shared" si="8"/>
        <v>640.5624</v>
      </c>
      <c r="G32" s="206">
        <f t="shared" si="8"/>
        <v>281.517</v>
      </c>
      <c r="H32" s="206">
        <f t="shared" si="8"/>
        <v>176722.276</v>
      </c>
      <c r="I32" s="206">
        <f t="shared" si="8"/>
        <v>74965.4388</v>
      </c>
      <c r="J32" s="206">
        <f t="shared" si="8"/>
        <v>1028.057</v>
      </c>
      <c r="K32" s="206">
        <f t="shared" si="8"/>
        <v>64700.815</v>
      </c>
      <c r="L32" s="206">
        <f t="shared" si="8"/>
        <v>125.656</v>
      </c>
      <c r="M32" s="206">
        <f t="shared" si="8"/>
        <v>13.350999999999999</v>
      </c>
      <c r="N32" s="206">
        <f t="shared" si="8"/>
        <v>22.74</v>
      </c>
      <c r="O32" s="206">
        <f t="shared" si="8"/>
        <v>57092.516</v>
      </c>
      <c r="P32" s="206">
        <f t="shared" si="8"/>
        <v>1636.603</v>
      </c>
      <c r="Q32" s="206">
        <f t="shared" si="8"/>
        <v>38882.117</v>
      </c>
      <c r="R32" s="206">
        <f>+SUM(R14+R23+R28+R30)</f>
        <v>5041.282</v>
      </c>
      <c r="S32" s="206">
        <f>+SUM(S14+S23+S28+S30)</f>
        <v>24956.902</v>
      </c>
      <c r="T32" s="206">
        <f>+SUM(T14+T23+T28+T30)</f>
        <v>1860.373</v>
      </c>
      <c r="U32" s="206">
        <f>+SUM(U14+U23+U28+U30)</f>
        <v>3753.678</v>
      </c>
      <c r="V32" s="206">
        <f t="shared" si="8"/>
        <v>33190.773</v>
      </c>
      <c r="W32" s="206">
        <f t="shared" si="8"/>
        <v>181</v>
      </c>
      <c r="X32" s="206">
        <f t="shared" si="8"/>
        <v>6470.358</v>
      </c>
      <c r="Y32" s="206">
        <f t="shared" si="8"/>
        <v>5074.255819074004</v>
      </c>
      <c r="Z32" s="206">
        <f t="shared" si="8"/>
        <v>18639.79872695365</v>
      </c>
      <c r="AA32" s="206">
        <f t="shared" si="8"/>
        <v>1608.5360147102194</v>
      </c>
      <c r="AB32" s="206">
        <f t="shared" si="8"/>
        <v>939.5213349999999</v>
      </c>
      <c r="AC32" s="206">
        <f t="shared" si="8"/>
        <v>26425.232</v>
      </c>
      <c r="AD32" s="206">
        <f t="shared" si="8"/>
        <v>569.301</v>
      </c>
      <c r="AE32" s="206">
        <f t="shared" si="8"/>
        <v>5840.918</v>
      </c>
      <c r="AF32" s="206">
        <f t="shared" si="8"/>
        <v>19517.347</v>
      </c>
      <c r="AG32" s="206">
        <f t="shared" si="8"/>
        <v>23894.744</v>
      </c>
      <c r="AH32" s="206">
        <f>+SUM(AH14+AH23+AH28+AH30)</f>
        <v>18537.899</v>
      </c>
      <c r="AI32" s="206">
        <f t="shared" si="8"/>
        <v>18041.837</v>
      </c>
      <c r="AJ32" s="206">
        <f t="shared" si="8"/>
        <v>59.6175</v>
      </c>
      <c r="AK32" s="206">
        <f t="shared" si="8"/>
        <v>14577.608</v>
      </c>
      <c r="AL32" s="206">
        <f t="shared" si="8"/>
        <v>17365.928</v>
      </c>
      <c r="AM32" s="206">
        <f>+SUM(AM14+AM23+AM28+AM30)</f>
        <v>15121.842</v>
      </c>
      <c r="AN32" s="206">
        <f t="shared" si="8"/>
        <v>15227.004</v>
      </c>
      <c r="AO32" s="206">
        <f t="shared" si="8"/>
        <v>14905.575</v>
      </c>
      <c r="AP32" s="206">
        <f t="shared" si="8"/>
        <v>13749.012</v>
      </c>
      <c r="AQ32" s="206">
        <f>+SUM(AQ14+AQ23+AQ28+AQ30)</f>
        <v>11749.218638</v>
      </c>
      <c r="AR32" s="206">
        <f>+SUM(AR14+AR23+AR28+AR30)</f>
        <v>303.175279</v>
      </c>
      <c r="AS32" s="206">
        <f>+SUM(AS14+AS23+AS28+AS30)</f>
        <v>45.336</v>
      </c>
      <c r="AT32" s="206">
        <f>+SUM(AT14+AT23+AT28+AT30)</f>
        <v>0</v>
      </c>
      <c r="AU32" s="206">
        <f>+SUM(AU14+AU23+AU28+AU30)</f>
        <v>11120.126</v>
      </c>
      <c r="AV32" s="206">
        <f t="shared" si="8"/>
        <v>7591.544623</v>
      </c>
      <c r="AW32" s="206">
        <f>+SUM(AW14+AW23+AW28+AW30)</f>
        <v>1069.261032</v>
      </c>
      <c r="AX32" s="206">
        <f>+SUM(AX14+AX23+AX28+AX30)</f>
        <v>3647.931704</v>
      </c>
      <c r="AY32" s="206">
        <f>+SUM(AY14+AY23+AY28+AY30)</f>
        <v>4608.765753</v>
      </c>
      <c r="AZ32" s="206">
        <f>+SUM(AZ14+AZ23+AZ28+AZ30)</f>
        <v>1175.370322</v>
      </c>
      <c r="BA32" s="206">
        <f>+SUM(BA14+BA23+BA28+BA30)</f>
        <v>159.688712</v>
      </c>
      <c r="BB32" s="206">
        <f t="shared" si="8"/>
        <v>10155.24</v>
      </c>
      <c r="BC32" s="206">
        <f t="shared" si="8"/>
        <v>9650.909559</v>
      </c>
      <c r="BD32" s="206">
        <f t="shared" si="8"/>
        <v>7157.477</v>
      </c>
      <c r="BE32" s="206">
        <f>+SUM(BE14+BE23+BE28+BE30)</f>
        <v>3948.15</v>
      </c>
      <c r="BF32" s="206">
        <f t="shared" si="8"/>
        <v>2936.292</v>
      </c>
      <c r="BG32" s="206">
        <f t="shared" si="8"/>
        <v>184.195</v>
      </c>
      <c r="BH32" s="206">
        <f t="shared" si="8"/>
        <v>2920.033</v>
      </c>
      <c r="BI32" s="206">
        <f t="shared" si="8"/>
        <v>12.258</v>
      </c>
      <c r="BJ32" s="206">
        <f aca="true" t="shared" si="9" ref="BJ32:CA32">+SUM(BJ14+BJ23+BJ28+BJ30)</f>
        <v>2519.197</v>
      </c>
      <c r="BK32" s="206">
        <f t="shared" si="9"/>
        <v>2421.573</v>
      </c>
      <c r="BL32" s="206">
        <f>+SUM(BL14+BL23+BL28+BL30)</f>
        <v>1729.964</v>
      </c>
      <c r="BM32" s="206">
        <f t="shared" si="9"/>
        <v>1365.412538</v>
      </c>
      <c r="BN32" s="206">
        <f t="shared" si="9"/>
        <v>1624.437</v>
      </c>
      <c r="BO32" s="206">
        <f t="shared" si="9"/>
        <v>1478.631</v>
      </c>
      <c r="BP32" s="206">
        <f t="shared" si="9"/>
        <v>106.01</v>
      </c>
      <c r="BQ32" s="206">
        <f t="shared" si="9"/>
        <v>948.655</v>
      </c>
      <c r="BR32" s="206">
        <f t="shared" si="9"/>
        <v>703.348</v>
      </c>
      <c r="BS32" s="206">
        <f t="shared" si="9"/>
        <v>618.158182</v>
      </c>
      <c r="BT32" s="206">
        <f t="shared" si="9"/>
        <v>592.015</v>
      </c>
      <c r="BU32" s="206">
        <f t="shared" si="9"/>
        <v>518.671</v>
      </c>
      <c r="BV32" s="206">
        <f t="shared" si="9"/>
        <v>456.699</v>
      </c>
      <c r="BW32" s="206">
        <f t="shared" si="9"/>
        <v>387.286322</v>
      </c>
      <c r="BX32" s="206">
        <f t="shared" si="9"/>
        <v>210.15699999999998</v>
      </c>
      <c r="BY32" s="206">
        <f t="shared" si="9"/>
        <v>89.792</v>
      </c>
      <c r="BZ32" s="206">
        <f>+SUM(BZ14+BZ23+BZ28+BZ30)</f>
        <v>9.05</v>
      </c>
      <c r="CA32" s="206">
        <f t="shared" si="9"/>
        <v>57.532</v>
      </c>
      <c r="CB32" s="206"/>
      <c r="CC32" s="203">
        <f t="shared" si="3"/>
        <v>989566.5282597379</v>
      </c>
    </row>
    <row r="33" spans="2:81" s="204" customFormat="1" ht="13.5" hidden="1"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3">
        <f t="shared" si="3"/>
        <v>0</v>
      </c>
    </row>
    <row r="34" ht="12.75" hidden="1"/>
    <row r="35" spans="2:85" s="200" customFormat="1" ht="17.25" customHeight="1">
      <c r="B35" s="207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C35" s="203"/>
      <c r="CD35" s="198"/>
      <c r="CE35" s="203"/>
      <c r="CF35" s="203"/>
      <c r="CG35" s="203"/>
    </row>
    <row r="36" spans="2:85" s="200" customFormat="1" ht="17.25" customHeight="1">
      <c r="B36" s="207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C36" s="203"/>
      <c r="CD36" s="198"/>
      <c r="CE36" s="198"/>
      <c r="CF36" s="187"/>
      <c r="CG36" s="203"/>
    </row>
    <row r="37" spans="2:83" s="200" customFormat="1" ht="12.75">
      <c r="B37" s="343" t="s">
        <v>548</v>
      </c>
      <c r="C37" s="202">
        <v>27429</v>
      </c>
      <c r="D37" s="202">
        <v>27429</v>
      </c>
      <c r="E37" s="202">
        <v>15613</v>
      </c>
      <c r="F37" s="202">
        <v>696</v>
      </c>
      <c r="G37" s="202">
        <v>114</v>
      </c>
      <c r="H37" s="202">
        <v>36972</v>
      </c>
      <c r="I37" s="202">
        <v>14760</v>
      </c>
      <c r="J37" s="202">
        <v>94</v>
      </c>
      <c r="K37" s="202">
        <v>9592</v>
      </c>
      <c r="L37" s="202">
        <v>49</v>
      </c>
      <c r="M37" s="202">
        <v>1</v>
      </c>
      <c r="N37" s="202">
        <v>0</v>
      </c>
      <c r="O37" s="202">
        <v>16528</v>
      </c>
      <c r="P37" s="202">
        <v>96</v>
      </c>
      <c r="Q37" s="202">
        <v>9999</v>
      </c>
      <c r="R37" s="202">
        <v>1639</v>
      </c>
      <c r="S37" s="202">
        <v>8689</v>
      </c>
      <c r="T37" s="202">
        <v>204</v>
      </c>
      <c r="U37" s="202">
        <v>0</v>
      </c>
      <c r="V37" s="202">
        <v>6066</v>
      </c>
      <c r="W37" s="202">
        <v>39</v>
      </c>
      <c r="X37" s="202">
        <v>2027</v>
      </c>
      <c r="Y37" s="202">
        <v>2045</v>
      </c>
      <c r="Z37" s="202">
        <v>6143</v>
      </c>
      <c r="AA37" s="202">
        <v>237</v>
      </c>
      <c r="AB37" s="202">
        <v>0</v>
      </c>
      <c r="AC37" s="202">
        <v>4815</v>
      </c>
      <c r="AD37" s="202">
        <v>0</v>
      </c>
      <c r="AE37" s="202">
        <v>961</v>
      </c>
      <c r="AF37" s="202">
        <v>2520</v>
      </c>
      <c r="AG37" s="202">
        <v>2499</v>
      </c>
      <c r="AH37" s="202">
        <v>3779</v>
      </c>
      <c r="AI37" s="202">
        <v>4702</v>
      </c>
      <c r="AJ37" s="202">
        <v>19</v>
      </c>
      <c r="AK37" s="202">
        <v>4006</v>
      </c>
      <c r="AL37" s="202">
        <v>3909</v>
      </c>
      <c r="AM37" s="202">
        <v>3968</v>
      </c>
      <c r="AN37" s="202">
        <v>2453</v>
      </c>
      <c r="AO37" s="202">
        <v>3618</v>
      </c>
      <c r="AP37" s="202">
        <v>2951</v>
      </c>
      <c r="AQ37" s="202">
        <v>2159</v>
      </c>
      <c r="AR37" s="202">
        <v>101</v>
      </c>
      <c r="AS37" s="202">
        <v>6</v>
      </c>
      <c r="AT37" s="202">
        <v>0</v>
      </c>
      <c r="AU37" s="202">
        <v>1655</v>
      </c>
      <c r="AV37" s="202">
        <v>146</v>
      </c>
      <c r="AW37" s="202">
        <v>314</v>
      </c>
      <c r="AX37" s="202">
        <v>1242</v>
      </c>
      <c r="AY37" s="202">
        <v>1401</v>
      </c>
      <c r="AZ37" s="202">
        <v>177</v>
      </c>
      <c r="BA37" s="202"/>
      <c r="BB37" s="202">
        <v>3521</v>
      </c>
      <c r="BC37" s="202">
        <v>68</v>
      </c>
      <c r="BD37" s="202">
        <v>2312</v>
      </c>
      <c r="BE37" s="202">
        <v>0</v>
      </c>
      <c r="BF37" s="202">
        <v>263</v>
      </c>
      <c r="BG37" s="202">
        <v>0</v>
      </c>
      <c r="BH37" s="202">
        <v>2928</v>
      </c>
      <c r="BI37" s="202">
        <v>2</v>
      </c>
      <c r="BJ37" s="202">
        <v>444</v>
      </c>
      <c r="BK37" s="202">
        <v>255</v>
      </c>
      <c r="BL37" s="202">
        <v>350</v>
      </c>
      <c r="BM37" s="202">
        <v>417</v>
      </c>
      <c r="BN37" s="202">
        <v>324</v>
      </c>
      <c r="BO37" s="202">
        <v>217</v>
      </c>
      <c r="BP37" s="202">
        <v>202</v>
      </c>
      <c r="BQ37" s="202">
        <v>255</v>
      </c>
      <c r="BR37" s="202">
        <v>704</v>
      </c>
      <c r="BS37" s="202">
        <v>7</v>
      </c>
      <c r="BT37" s="202">
        <v>127</v>
      </c>
      <c r="BU37" s="202">
        <v>37</v>
      </c>
      <c r="BV37" s="202">
        <v>0</v>
      </c>
      <c r="BW37" s="202">
        <v>6</v>
      </c>
      <c r="BX37" s="202">
        <v>0</v>
      </c>
      <c r="BY37" s="202">
        <v>0</v>
      </c>
      <c r="BZ37" s="202">
        <v>0</v>
      </c>
      <c r="CA37" s="202">
        <v>0</v>
      </c>
      <c r="CC37" s="203">
        <f t="shared" si="3"/>
        <v>246301</v>
      </c>
      <c r="CE37" s="203"/>
    </row>
    <row r="38" spans="2:81" s="200" customFormat="1" ht="12.75">
      <c r="B38" s="343" t="s">
        <v>549</v>
      </c>
      <c r="C38" s="202">
        <f aca="true" t="shared" si="10" ref="C38:BI38">+SUM(C17:C21)+C27</f>
        <v>6909.5</v>
      </c>
      <c r="D38" s="202">
        <f t="shared" si="10"/>
        <v>3350</v>
      </c>
      <c r="E38" s="202">
        <f t="shared" si="10"/>
        <v>0</v>
      </c>
      <c r="F38" s="202">
        <f t="shared" si="10"/>
        <v>0</v>
      </c>
      <c r="G38" s="202">
        <f t="shared" si="10"/>
        <v>0</v>
      </c>
      <c r="H38" s="202">
        <v>7407</v>
      </c>
      <c r="I38" s="202">
        <f t="shared" si="10"/>
        <v>5122</v>
      </c>
      <c r="J38" s="202">
        <f t="shared" si="10"/>
        <v>0</v>
      </c>
      <c r="K38" s="202">
        <f t="shared" si="10"/>
        <v>4670</v>
      </c>
      <c r="L38" s="202">
        <f t="shared" si="10"/>
        <v>0</v>
      </c>
      <c r="M38" s="202">
        <f t="shared" si="10"/>
        <v>1</v>
      </c>
      <c r="N38" s="202">
        <f t="shared" si="10"/>
        <v>0</v>
      </c>
      <c r="O38" s="202">
        <f t="shared" si="10"/>
        <v>2091</v>
      </c>
      <c r="P38" s="202">
        <f t="shared" si="10"/>
        <v>22</v>
      </c>
      <c r="Q38" s="202">
        <f t="shared" si="10"/>
        <v>701</v>
      </c>
      <c r="R38" s="202">
        <f>+SUM(R17:R21)+R27</f>
        <v>162</v>
      </c>
      <c r="S38" s="202">
        <f>+SUM(S17:S21)+S27</f>
        <v>664</v>
      </c>
      <c r="T38" s="202">
        <f>+SUM(T17:T21)+T27</f>
        <v>22</v>
      </c>
      <c r="U38" s="202">
        <f>+SUM(U17:U21)+U27</f>
        <v>0</v>
      </c>
      <c r="V38" s="202">
        <f t="shared" si="10"/>
        <v>578</v>
      </c>
      <c r="W38" s="202">
        <f t="shared" si="10"/>
        <v>0</v>
      </c>
      <c r="X38" s="202">
        <f t="shared" si="10"/>
        <v>148</v>
      </c>
      <c r="Y38" s="202">
        <f t="shared" si="10"/>
        <v>82</v>
      </c>
      <c r="Z38" s="202">
        <f t="shared" si="10"/>
        <v>487</v>
      </c>
      <c r="AA38" s="202">
        <f t="shared" si="10"/>
        <v>43</v>
      </c>
      <c r="AB38" s="202">
        <f t="shared" si="10"/>
        <v>0</v>
      </c>
      <c r="AC38" s="202">
        <f t="shared" si="10"/>
        <v>994</v>
      </c>
      <c r="AD38" s="202">
        <f t="shared" si="10"/>
        <v>24</v>
      </c>
      <c r="AE38" s="202">
        <f t="shared" si="10"/>
        <v>354</v>
      </c>
      <c r="AF38" s="202">
        <f t="shared" si="10"/>
        <v>2448</v>
      </c>
      <c r="AG38" s="202">
        <f t="shared" si="10"/>
        <v>1435</v>
      </c>
      <c r="AH38" s="202">
        <f>+SUM(AH17:AH21)+AH27</f>
        <v>555</v>
      </c>
      <c r="AI38" s="202">
        <f t="shared" si="10"/>
        <v>930</v>
      </c>
      <c r="AJ38" s="202">
        <f t="shared" si="10"/>
        <v>0</v>
      </c>
      <c r="AK38" s="202">
        <f t="shared" si="10"/>
        <v>868</v>
      </c>
      <c r="AL38" s="202">
        <f t="shared" si="10"/>
        <v>502</v>
      </c>
      <c r="AM38" s="202">
        <f>+SUM(AM17:AM21)+AM27</f>
        <v>965</v>
      </c>
      <c r="AN38" s="202">
        <f t="shared" si="10"/>
        <v>1092</v>
      </c>
      <c r="AO38" s="202">
        <f t="shared" si="10"/>
        <v>503</v>
      </c>
      <c r="AP38" s="202">
        <f t="shared" si="10"/>
        <v>1446</v>
      </c>
      <c r="AQ38" s="202">
        <f>+SUM(AQ17:AQ21)+AQ27</f>
        <v>555</v>
      </c>
      <c r="AR38" s="202">
        <f>+SUM(AR17:AR21)+AR27</f>
        <v>4</v>
      </c>
      <c r="AS38" s="202">
        <f>+SUM(AS17:AS21)+AS27</f>
        <v>0</v>
      </c>
      <c r="AT38" s="202">
        <f>+SUM(AT17:AT21)+AT27</f>
        <v>0</v>
      </c>
      <c r="AU38" s="202">
        <f>+SUM(AU17:AU21)+AU27</f>
        <v>688</v>
      </c>
      <c r="AV38" s="202">
        <f t="shared" si="10"/>
        <v>49</v>
      </c>
      <c r="AW38" s="202">
        <f>+SUM(AW17:AW21)+AW27</f>
        <v>34</v>
      </c>
      <c r="AX38" s="202">
        <f>+SUM(AX17:AX21)+AX27</f>
        <v>103</v>
      </c>
      <c r="AY38" s="202">
        <f>+SUM(AY17:AY21)+AY27</f>
        <v>170</v>
      </c>
      <c r="AZ38" s="202">
        <f>+SUM(AZ17:AZ21)+AZ27</f>
        <v>66</v>
      </c>
      <c r="BA38" s="202">
        <f>+SUM(BA17:BA21)+BA27</f>
        <v>0</v>
      </c>
      <c r="BB38" s="202">
        <f t="shared" si="10"/>
        <v>437</v>
      </c>
      <c r="BC38" s="202">
        <f t="shared" si="10"/>
        <v>1773</v>
      </c>
      <c r="BD38" s="202">
        <f t="shared" si="10"/>
        <v>387</v>
      </c>
      <c r="BE38" s="202">
        <f>+SUM(BE17:BE21)+BE27</f>
        <v>216</v>
      </c>
      <c r="BF38" s="202">
        <f t="shared" si="10"/>
        <v>155</v>
      </c>
      <c r="BG38" s="202">
        <f t="shared" si="10"/>
        <v>69</v>
      </c>
      <c r="BH38" s="202">
        <f t="shared" si="10"/>
        <v>930</v>
      </c>
      <c r="BI38" s="202">
        <f t="shared" si="10"/>
        <v>0</v>
      </c>
      <c r="BJ38" s="202">
        <f aca="true" t="shared" si="11" ref="BJ38:CA38">+SUM(BJ17:BJ21)+BJ27</f>
        <v>208</v>
      </c>
      <c r="BK38" s="202">
        <f t="shared" si="11"/>
        <v>123</v>
      </c>
      <c r="BL38" s="202">
        <f>+SUM(BL17:BL21)+BL27</f>
        <v>65</v>
      </c>
      <c r="BM38" s="202">
        <f t="shared" si="11"/>
        <v>112</v>
      </c>
      <c r="BN38" s="202">
        <f t="shared" si="11"/>
        <v>61</v>
      </c>
      <c r="BO38" s="202">
        <f t="shared" si="11"/>
        <v>63</v>
      </c>
      <c r="BP38" s="202">
        <f t="shared" si="11"/>
        <v>13</v>
      </c>
      <c r="BQ38" s="202">
        <f t="shared" si="11"/>
        <v>56</v>
      </c>
      <c r="BR38" s="202">
        <f t="shared" si="11"/>
        <v>81</v>
      </c>
      <c r="BS38" s="202">
        <f t="shared" si="11"/>
        <v>154</v>
      </c>
      <c r="BT38" s="202">
        <f t="shared" si="11"/>
        <v>11</v>
      </c>
      <c r="BU38" s="202">
        <f t="shared" si="11"/>
        <v>13</v>
      </c>
      <c r="BV38" s="202">
        <f t="shared" si="11"/>
        <v>2</v>
      </c>
      <c r="BW38" s="202">
        <f t="shared" si="11"/>
        <v>0</v>
      </c>
      <c r="BX38" s="202">
        <f t="shared" si="11"/>
        <v>7</v>
      </c>
      <c r="BY38" s="202">
        <f t="shared" si="11"/>
        <v>0</v>
      </c>
      <c r="BZ38" s="202">
        <f>+SUM(BZ17:BZ21)+BZ27</f>
        <v>0</v>
      </c>
      <c r="CA38" s="202">
        <f t="shared" si="11"/>
        <v>10</v>
      </c>
      <c r="CC38" s="203">
        <f t="shared" si="3"/>
        <v>51190.5</v>
      </c>
    </row>
    <row r="39" spans="2:83" s="200" customFormat="1" ht="12.75">
      <c r="B39" s="343" t="s">
        <v>480</v>
      </c>
      <c r="C39" s="202">
        <v>20059</v>
      </c>
      <c r="D39" s="202">
        <v>20059</v>
      </c>
      <c r="E39" s="202">
        <v>12003</v>
      </c>
      <c r="F39" s="202">
        <v>666</v>
      </c>
      <c r="G39" s="202">
        <v>104</v>
      </c>
      <c r="H39" s="202">
        <v>0</v>
      </c>
      <c r="I39" s="202">
        <v>8194</v>
      </c>
      <c r="J39" s="202">
        <v>105</v>
      </c>
      <c r="K39" s="202">
        <v>9323</v>
      </c>
      <c r="L39" s="202">
        <v>142</v>
      </c>
      <c r="M39" s="202">
        <v>12</v>
      </c>
      <c r="N39" s="202">
        <v>0</v>
      </c>
      <c r="O39" s="202">
        <v>14922</v>
      </c>
      <c r="P39" s="202">
        <v>58</v>
      </c>
      <c r="Q39" s="202">
        <v>6934</v>
      </c>
      <c r="R39" s="202">
        <v>2199</v>
      </c>
      <c r="S39" s="202">
        <v>10235</v>
      </c>
      <c r="T39" s="202">
        <v>796</v>
      </c>
      <c r="U39" s="202">
        <v>0</v>
      </c>
      <c r="V39" s="202">
        <v>6435</v>
      </c>
      <c r="W39" s="202">
        <v>191</v>
      </c>
      <c r="X39" s="202">
        <v>5316</v>
      </c>
      <c r="Y39" s="202">
        <v>3572</v>
      </c>
      <c r="Z39" s="202">
        <v>15066</v>
      </c>
      <c r="AA39" s="202">
        <v>1387</v>
      </c>
      <c r="AB39" s="202">
        <v>0</v>
      </c>
      <c r="AC39" s="202">
        <v>2296</v>
      </c>
      <c r="AD39" s="202">
        <v>51</v>
      </c>
      <c r="AE39" s="202">
        <v>2443</v>
      </c>
      <c r="AF39" s="202">
        <v>10032</v>
      </c>
      <c r="AG39" s="202">
        <v>1303</v>
      </c>
      <c r="AH39" s="202">
        <v>10948</v>
      </c>
      <c r="AI39" s="202">
        <v>8417</v>
      </c>
      <c r="AJ39" s="202">
        <v>59</v>
      </c>
      <c r="AK39" s="202">
        <v>2911</v>
      </c>
      <c r="AL39" s="202">
        <v>1934</v>
      </c>
      <c r="AM39" s="202">
        <v>2971</v>
      </c>
      <c r="AN39" s="202">
        <v>4860</v>
      </c>
      <c r="AO39" s="202">
        <v>2958</v>
      </c>
      <c r="AP39" s="202">
        <v>9803</v>
      </c>
      <c r="AQ39" s="202">
        <v>4594</v>
      </c>
      <c r="AR39" s="202">
        <v>233</v>
      </c>
      <c r="AS39" s="202">
        <v>46</v>
      </c>
      <c r="AT39" s="202">
        <v>0</v>
      </c>
      <c r="AU39" s="202">
        <v>1241</v>
      </c>
      <c r="AV39" s="202">
        <v>1068</v>
      </c>
      <c r="AW39" s="202">
        <v>1031</v>
      </c>
      <c r="AX39" s="202">
        <v>3191</v>
      </c>
      <c r="AY39" s="202">
        <v>4408</v>
      </c>
      <c r="AZ39" s="202">
        <v>1130</v>
      </c>
      <c r="BA39" s="202"/>
      <c r="BB39" s="202">
        <v>6300</v>
      </c>
      <c r="BC39" s="202">
        <v>207</v>
      </c>
      <c r="BD39" s="202">
        <v>3660</v>
      </c>
      <c r="BE39" s="202">
        <v>3410</v>
      </c>
      <c r="BF39" s="202">
        <v>629</v>
      </c>
      <c r="BG39" s="202">
        <v>4</v>
      </c>
      <c r="BH39" s="202">
        <v>1203</v>
      </c>
      <c r="BI39" s="202">
        <v>13</v>
      </c>
      <c r="BJ39" s="202">
        <v>1146</v>
      </c>
      <c r="BK39" s="202">
        <v>1626</v>
      </c>
      <c r="BL39" s="202">
        <v>1560</v>
      </c>
      <c r="BM39" s="202">
        <v>915</v>
      </c>
      <c r="BN39" s="202">
        <v>360</v>
      </c>
      <c r="BO39" s="202">
        <v>1345</v>
      </c>
      <c r="BP39" s="202">
        <v>619</v>
      </c>
      <c r="BQ39" s="202">
        <v>721</v>
      </c>
      <c r="BR39" s="202">
        <v>517</v>
      </c>
      <c r="BS39" s="202">
        <v>0</v>
      </c>
      <c r="BT39" s="202">
        <v>297</v>
      </c>
      <c r="BU39" s="202">
        <v>474</v>
      </c>
      <c r="BV39" s="202">
        <v>0</v>
      </c>
      <c r="BW39" s="202">
        <v>202</v>
      </c>
      <c r="BX39" s="202">
        <v>90</v>
      </c>
      <c r="BY39" s="202">
        <v>0</v>
      </c>
      <c r="BZ39" s="202">
        <v>0</v>
      </c>
      <c r="CA39" s="202">
        <v>0</v>
      </c>
      <c r="CC39" s="203">
        <f t="shared" si="3"/>
        <v>241004</v>
      </c>
      <c r="CE39" s="203"/>
    </row>
    <row r="40" spans="2:83" s="200" customFormat="1" ht="12.75">
      <c r="B40" s="187"/>
      <c r="I40" s="187"/>
      <c r="CE40" s="203"/>
    </row>
    <row r="41" spans="2:83" s="200" customFormat="1" ht="12.75">
      <c r="B41" s="187"/>
      <c r="I41" s="187"/>
      <c r="CE41" s="203"/>
    </row>
    <row r="42" spans="2:79" s="200" customFormat="1" ht="12.75">
      <c r="B42" s="207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</row>
    <row r="43" spans="2:79" ht="12.75">
      <c r="B43" s="187"/>
      <c r="C43" s="200"/>
      <c r="D43" s="200"/>
      <c r="E43" s="200"/>
      <c r="F43" s="200"/>
      <c r="G43" s="200"/>
      <c r="H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</row>
    <row r="44" spans="2:79" ht="12.75">
      <c r="B44" s="187"/>
      <c r="C44" s="200"/>
      <c r="D44" s="200"/>
      <c r="E44" s="200"/>
      <c r="F44" s="200"/>
      <c r="G44" s="200"/>
      <c r="H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</row>
    <row r="45" spans="2:79" ht="12.75">
      <c r="B45" s="187"/>
      <c r="C45" s="200"/>
      <c r="D45" s="200"/>
      <c r="E45" s="200"/>
      <c r="F45" s="200"/>
      <c r="G45" s="200"/>
      <c r="H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</row>
    <row r="46" spans="2:79" ht="12.75">
      <c r="B46" s="207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</row>
    <row r="47" spans="2:79" ht="12.75">
      <c r="B47" s="187"/>
      <c r="C47" s="200"/>
      <c r="D47" s="210"/>
      <c r="E47" s="200"/>
      <c r="F47" s="200"/>
      <c r="G47" s="200"/>
      <c r="H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</row>
    <row r="48" spans="2:79" ht="12.75">
      <c r="B48" s="187"/>
      <c r="C48" s="200"/>
      <c r="D48" s="200"/>
      <c r="E48" s="200"/>
      <c r="F48" s="200"/>
      <c r="G48" s="200"/>
      <c r="H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</row>
    <row r="49" spans="2:79" ht="12.75">
      <c r="B49" s="187"/>
      <c r="C49" s="200"/>
      <c r="D49" s="200"/>
      <c r="E49" s="200"/>
      <c r="F49" s="200"/>
      <c r="G49" s="200"/>
      <c r="H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</row>
    <row r="50" spans="2:79" ht="12.75">
      <c r="B50" s="187"/>
      <c r="C50" s="200"/>
      <c r="D50" s="200"/>
      <c r="E50" s="200"/>
      <c r="F50" s="200"/>
      <c r="G50" s="200"/>
      <c r="H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</row>
    <row r="51" spans="2:79" ht="12.75">
      <c r="B51" s="187"/>
      <c r="C51" s="200"/>
      <c r="D51" s="200"/>
      <c r="E51" s="200"/>
      <c r="F51" s="200"/>
      <c r="G51" s="200"/>
      <c r="H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</row>
    <row r="52" spans="2:79" ht="12.75">
      <c r="B52" s="187"/>
      <c r="C52" s="200"/>
      <c r="D52" s="200"/>
      <c r="E52" s="200"/>
      <c r="F52" s="200"/>
      <c r="G52" s="200"/>
      <c r="H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</row>
    <row r="53" ht="12.75">
      <c r="C53" s="187"/>
    </row>
    <row r="54" ht="12.75">
      <c r="C54" s="187"/>
    </row>
    <row r="55" ht="12.75">
      <c r="C55" s="187"/>
    </row>
    <row r="56" ht="12.75">
      <c r="C56" s="187"/>
    </row>
    <row r="57" ht="12.75">
      <c r="C57" s="187"/>
    </row>
    <row r="58" ht="12.75">
      <c r="C58" s="187"/>
    </row>
    <row r="59" ht="12.75">
      <c r="C59" s="187"/>
    </row>
  </sheetData>
  <sheetProtection/>
  <mergeCells count="51">
    <mergeCell ref="AI2:AJ2"/>
    <mergeCell ref="AI3:AJ3"/>
    <mergeCell ref="AI4:AJ4"/>
    <mergeCell ref="AE2:AF2"/>
    <mergeCell ref="AC1:AD1"/>
    <mergeCell ref="AC2:AD2"/>
    <mergeCell ref="AE3:AF3"/>
    <mergeCell ref="AE4:AF4"/>
    <mergeCell ref="AW1:BA1"/>
    <mergeCell ref="AW2:BA2"/>
    <mergeCell ref="AW3:BA3"/>
    <mergeCell ref="AW4:BA4"/>
    <mergeCell ref="AI1:AJ1"/>
    <mergeCell ref="V4:W4"/>
    <mergeCell ref="X3:AB3"/>
    <mergeCell ref="X4:AB4"/>
    <mergeCell ref="AQ1:AT1"/>
    <mergeCell ref="AQ2:AT2"/>
    <mergeCell ref="K1:N1"/>
    <mergeCell ref="K2:N2"/>
    <mergeCell ref="V1:W1"/>
    <mergeCell ref="V2:W2"/>
    <mergeCell ref="AE1:AF1"/>
    <mergeCell ref="C1:G1"/>
    <mergeCell ref="C2:G2"/>
    <mergeCell ref="C4:G4"/>
    <mergeCell ref="R3:U3"/>
    <mergeCell ref="R4:U4"/>
    <mergeCell ref="X1:AB1"/>
    <mergeCell ref="X2:AB2"/>
    <mergeCell ref="R1:U1"/>
    <mergeCell ref="R2:U2"/>
    <mergeCell ref="V3:W3"/>
    <mergeCell ref="K4:N4"/>
    <mergeCell ref="O1:P1"/>
    <mergeCell ref="O2:P2"/>
    <mergeCell ref="O3:P3"/>
    <mergeCell ref="O4:P4"/>
    <mergeCell ref="I1:J1"/>
    <mergeCell ref="I2:J2"/>
    <mergeCell ref="I4:J4"/>
    <mergeCell ref="AC4:AD4"/>
    <mergeCell ref="BH1:BI1"/>
    <mergeCell ref="BH2:BI2"/>
    <mergeCell ref="BH4:BI4"/>
    <mergeCell ref="BF1:BG1"/>
    <mergeCell ref="BF2:BG2"/>
    <mergeCell ref="BF3:BG3"/>
    <mergeCell ref="BF4:BG4"/>
    <mergeCell ref="AQ3:AT3"/>
    <mergeCell ref="AQ4:AT4"/>
  </mergeCells>
  <printOptions/>
  <pageMargins left="0.4724409448818898" right="0.1968503937007874" top="0.984251968503937" bottom="0.3937007874015748" header="0.5118110236220472" footer="0.5118110236220472"/>
  <pageSetup firstPageNumber="70" useFirstPageNumber="1" horizontalDpi="600" verticalDpi="600" orientation="landscape" paperSize="9" r:id="rId1"/>
  <headerFooter alignWithMargins="0">
    <oddHeader>&amp;C&amp;"Times New Roman,Bold"&amp;14 6.1. SUNDURLIÐUN Á FJÁRFESTINGUM 31.12.2004 Í SAMRÆMI VIÐ ÁKVÆÐI LAGA NR. 129/1997</oddHeader>
    <oddFooter>&amp;R&amp;"Times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214" bestFit="1" customWidth="1"/>
    <col min="2" max="2" width="13.421875" style="214" bestFit="1" customWidth="1"/>
    <col min="3" max="3" width="11.57421875" style="214" customWidth="1"/>
    <col min="4" max="4" width="12.00390625" style="214" customWidth="1"/>
    <col min="5" max="5" width="11.140625" style="214" customWidth="1"/>
    <col min="6" max="6" width="10.8515625" style="214" bestFit="1" customWidth="1"/>
    <col min="7" max="7" width="10.8515625" style="214" customWidth="1"/>
    <col min="8" max="9" width="9.8515625" style="214" bestFit="1" customWidth="1"/>
    <col min="10" max="16384" width="9.140625" style="214" customWidth="1"/>
  </cols>
  <sheetData>
    <row r="1" spans="1:9" ht="37.5" customHeight="1">
      <c r="A1" s="93"/>
      <c r="B1" s="378" t="s">
        <v>422</v>
      </c>
      <c r="C1" s="378"/>
      <c r="D1" s="375" t="s">
        <v>264</v>
      </c>
      <c r="E1" s="375"/>
      <c r="F1" s="375" t="s">
        <v>270</v>
      </c>
      <c r="G1" s="375"/>
      <c r="H1" s="375"/>
      <c r="I1" s="375"/>
    </row>
    <row r="2" spans="1:9" ht="12.75">
      <c r="A2" s="148" t="s">
        <v>62</v>
      </c>
      <c r="B2" s="94">
        <v>38351</v>
      </c>
      <c r="C2" s="94">
        <v>37986</v>
      </c>
      <c r="D2" s="104">
        <v>2004</v>
      </c>
      <c r="E2" s="104">
        <v>2003</v>
      </c>
      <c r="F2" s="104">
        <v>2004</v>
      </c>
      <c r="G2" s="104">
        <v>2003</v>
      </c>
      <c r="H2" s="95"/>
      <c r="I2" s="95"/>
    </row>
    <row r="3" spans="1:9" ht="12.75">
      <c r="A3" s="93"/>
      <c r="C3" s="94"/>
      <c r="E3" s="104"/>
      <c r="G3" s="104"/>
      <c r="I3" s="100"/>
    </row>
    <row r="4" spans="1:9" ht="28.5">
      <c r="A4" s="109" t="s">
        <v>432</v>
      </c>
      <c r="B4" s="47">
        <v>67976199</v>
      </c>
      <c r="C4" s="47">
        <v>57471442</v>
      </c>
      <c r="D4" s="106">
        <v>6606945</v>
      </c>
      <c r="E4" s="106">
        <v>6053332</v>
      </c>
      <c r="F4" s="106">
        <v>666256</v>
      </c>
      <c r="G4" s="106">
        <v>626155</v>
      </c>
      <c r="I4" s="18"/>
    </row>
    <row r="5" spans="1:9" ht="12.75">
      <c r="A5" s="93" t="s">
        <v>423</v>
      </c>
      <c r="B5" s="106">
        <v>13984766</v>
      </c>
      <c r="C5" s="106">
        <v>9417403</v>
      </c>
      <c r="D5" s="106">
        <v>2915826</v>
      </c>
      <c r="E5" s="106">
        <v>2837020</v>
      </c>
      <c r="F5" s="106">
        <v>120754</v>
      </c>
      <c r="G5" s="106">
        <v>87297</v>
      </c>
      <c r="H5" s="106"/>
      <c r="I5" s="18"/>
    </row>
    <row r="6" spans="1:9" ht="15.75">
      <c r="A6" s="93" t="s">
        <v>489</v>
      </c>
      <c r="B6" s="107">
        <v>28569505</v>
      </c>
      <c r="C6" s="107">
        <v>16211506</v>
      </c>
      <c r="D6" s="106">
        <v>7795395</v>
      </c>
      <c r="E6" s="106">
        <v>7015135</v>
      </c>
      <c r="F6" s="106">
        <v>314354</v>
      </c>
      <c r="G6" s="106">
        <v>140093</v>
      </c>
      <c r="I6" s="18"/>
    </row>
    <row r="7" spans="1:10" ht="12.75">
      <c r="A7" s="96" t="s">
        <v>59</v>
      </c>
      <c r="B7" s="108">
        <f aca="true" t="shared" si="0" ref="B7:G7">SUM(B4:B6)</f>
        <v>110530470</v>
      </c>
      <c r="C7" s="108">
        <f t="shared" si="0"/>
        <v>83100351</v>
      </c>
      <c r="D7" s="108">
        <f t="shared" si="0"/>
        <v>17318166</v>
      </c>
      <c r="E7" s="108">
        <f t="shared" si="0"/>
        <v>15905487</v>
      </c>
      <c r="F7" s="108">
        <f t="shared" si="0"/>
        <v>1101364</v>
      </c>
      <c r="G7" s="108">
        <f t="shared" si="0"/>
        <v>853545</v>
      </c>
      <c r="I7" s="108"/>
      <c r="J7" s="346"/>
    </row>
    <row r="8" spans="1:9" ht="12.75">
      <c r="A8" s="96"/>
      <c r="B8" s="97"/>
      <c r="C8" s="98"/>
      <c r="D8" s="98"/>
      <c r="G8" s="98"/>
      <c r="H8" s="100"/>
      <c r="I8" s="100"/>
    </row>
    <row r="9" spans="1:9" ht="12.75">
      <c r="A9" s="99"/>
      <c r="B9" s="107"/>
      <c r="C9" s="102"/>
      <c r="D9" s="98"/>
      <c r="E9" s="98"/>
      <c r="F9" s="98"/>
      <c r="G9" s="98"/>
      <c r="H9" s="100"/>
      <c r="I9" s="100"/>
    </row>
    <row r="10" spans="1:9" ht="12.75">
      <c r="A10" s="347"/>
      <c r="B10" s="93"/>
      <c r="C10" s="103"/>
      <c r="E10" s="100"/>
      <c r="F10" s="100"/>
      <c r="G10" s="100"/>
      <c r="H10" s="100"/>
      <c r="I10" s="100"/>
    </row>
    <row r="11" spans="1:9" ht="15.75">
      <c r="A11" s="105" t="s">
        <v>553</v>
      </c>
      <c r="B11" s="112">
        <v>8807230</v>
      </c>
      <c r="C11" s="112">
        <v>6485759</v>
      </c>
      <c r="D11" s="112">
        <v>1227080</v>
      </c>
      <c r="E11" s="112">
        <v>1356385</v>
      </c>
      <c r="F11" s="112">
        <v>22013</v>
      </c>
      <c r="G11" s="112">
        <v>7528</v>
      </c>
      <c r="H11" s="100"/>
      <c r="I11" s="100"/>
    </row>
    <row r="12" spans="1:9" ht="12.75">
      <c r="A12" s="113" t="s">
        <v>431</v>
      </c>
      <c r="B12" s="112">
        <v>59168969</v>
      </c>
      <c r="C12" s="112">
        <v>50985683</v>
      </c>
      <c r="D12" s="112">
        <v>5379865</v>
      </c>
      <c r="E12" s="112">
        <v>4696947</v>
      </c>
      <c r="F12" s="112">
        <v>644242</v>
      </c>
      <c r="G12" s="112">
        <v>618627</v>
      </c>
      <c r="H12" s="100"/>
      <c r="I12" s="100"/>
    </row>
    <row r="13" spans="1:9" ht="12.75">
      <c r="A13" s="114" t="s">
        <v>59</v>
      </c>
      <c r="B13" s="115">
        <f aca="true" t="shared" si="1" ref="B13:G13">SUM(B11:B12)</f>
        <v>67976199</v>
      </c>
      <c r="C13" s="115">
        <f t="shared" si="1"/>
        <v>57471442</v>
      </c>
      <c r="D13" s="115">
        <f t="shared" si="1"/>
        <v>6606945</v>
      </c>
      <c r="E13" s="115">
        <f t="shared" si="1"/>
        <v>6053332</v>
      </c>
      <c r="F13" s="115">
        <f t="shared" si="1"/>
        <v>666255</v>
      </c>
      <c r="G13" s="115">
        <f t="shared" si="1"/>
        <v>626155</v>
      </c>
      <c r="H13" s="100"/>
      <c r="I13" s="100"/>
    </row>
    <row r="14" spans="1:9" ht="12.75">
      <c r="A14" s="116" t="s">
        <v>457</v>
      </c>
      <c r="B14" s="112">
        <v>7891945</v>
      </c>
      <c r="C14" s="112">
        <v>6528551</v>
      </c>
      <c r="D14" s="112">
        <v>685557</v>
      </c>
      <c r="E14" s="112">
        <v>613242</v>
      </c>
      <c r="F14" s="348"/>
      <c r="G14" s="348"/>
      <c r="H14" s="100"/>
      <c r="I14" s="100"/>
    </row>
    <row r="15" spans="1:9" ht="12.75">
      <c r="A15" s="93"/>
      <c r="B15" s="93"/>
      <c r="C15" s="100"/>
      <c r="D15" s="100"/>
      <c r="E15" s="100"/>
      <c r="F15" s="100"/>
      <c r="G15" s="100"/>
      <c r="H15" s="100"/>
      <c r="I15" s="100"/>
    </row>
    <row r="16" spans="1:9" ht="15.75">
      <c r="A16" s="105"/>
      <c r="B16" s="215"/>
      <c r="C16" s="100"/>
      <c r="D16" s="100"/>
      <c r="E16" s="100"/>
      <c r="F16" s="100"/>
      <c r="G16" s="100"/>
      <c r="H16" s="100"/>
      <c r="I16" s="100"/>
    </row>
    <row r="17" spans="1:9" ht="15.75">
      <c r="A17" s="105"/>
      <c r="B17" s="93"/>
      <c r="C17" s="100"/>
      <c r="D17" s="100"/>
      <c r="E17" s="100"/>
      <c r="F17" s="100"/>
      <c r="G17" s="100"/>
      <c r="H17" s="100"/>
      <c r="I17" s="100"/>
    </row>
    <row r="18" spans="1:9" ht="12.75">
      <c r="A18" s="93"/>
      <c r="B18" s="376" t="s">
        <v>422</v>
      </c>
      <c r="C18" s="377"/>
      <c r="D18" s="377"/>
      <c r="E18" s="377"/>
      <c r="F18" s="377"/>
      <c r="G18" s="111"/>
      <c r="H18" s="100"/>
      <c r="I18" s="100"/>
    </row>
    <row r="19" spans="1:9" ht="12.75">
      <c r="A19" s="117"/>
      <c r="B19" s="216" t="s">
        <v>507</v>
      </c>
      <c r="C19" s="216" t="s">
        <v>490</v>
      </c>
      <c r="D19" s="216" t="s">
        <v>424</v>
      </c>
      <c r="E19" s="216" t="s">
        <v>425</v>
      </c>
      <c r="F19" s="216" t="s">
        <v>426</v>
      </c>
      <c r="G19" s="216" t="s">
        <v>552</v>
      </c>
      <c r="H19" s="100"/>
      <c r="I19" s="100"/>
    </row>
    <row r="20" spans="1:9" ht="15.75">
      <c r="A20" s="2" t="s">
        <v>491</v>
      </c>
      <c r="B20" s="113"/>
      <c r="D20" s="113"/>
      <c r="E20" s="119"/>
      <c r="F20" s="119"/>
      <c r="G20" s="119"/>
      <c r="H20" s="100"/>
      <c r="I20" s="100"/>
    </row>
    <row r="21" spans="1:9" ht="12.75">
      <c r="A21" s="118" t="s">
        <v>459</v>
      </c>
      <c r="B21" s="112">
        <v>21472925</v>
      </c>
      <c r="C21" s="112">
        <v>12404684</v>
      </c>
      <c r="D21" s="112">
        <v>7013146.091</v>
      </c>
      <c r="E21" s="112">
        <v>4606376.471</v>
      </c>
      <c r="F21" s="112">
        <v>1883174.941</v>
      </c>
      <c r="G21" s="112">
        <v>569729.71</v>
      </c>
      <c r="H21" s="100"/>
      <c r="I21" s="100"/>
    </row>
    <row r="22" spans="1:9" ht="12.75">
      <c r="A22" s="118" t="s">
        <v>427</v>
      </c>
      <c r="B22" s="112">
        <v>5095430</v>
      </c>
      <c r="C22" s="112">
        <v>3359891</v>
      </c>
      <c r="D22" s="112">
        <v>1794357.803</v>
      </c>
      <c r="E22" s="112">
        <v>746247.476</v>
      </c>
      <c r="F22" s="112">
        <v>81455.597</v>
      </c>
      <c r="G22" s="112">
        <v>27303.389</v>
      </c>
      <c r="H22" s="100"/>
      <c r="I22" s="100"/>
    </row>
    <row r="23" spans="1:9" ht="12.75">
      <c r="A23" s="118" t="s">
        <v>428</v>
      </c>
      <c r="B23" s="112">
        <v>2001150</v>
      </c>
      <c r="C23" s="112">
        <v>446931</v>
      </c>
      <c r="D23" s="112">
        <v>254123.053</v>
      </c>
      <c r="E23" s="112">
        <v>173376.535</v>
      </c>
      <c r="F23" s="112">
        <v>51639.257</v>
      </c>
      <c r="G23" s="112">
        <v>16000.695</v>
      </c>
      <c r="H23" s="100"/>
      <c r="I23" s="100"/>
    </row>
    <row r="24" spans="1:9" ht="12.75">
      <c r="A24" s="120" t="s">
        <v>59</v>
      </c>
      <c r="B24" s="353">
        <f aca="true" t="shared" si="2" ref="B24:G24">SUM(B21:B23)</f>
        <v>28569505</v>
      </c>
      <c r="C24" s="115">
        <f t="shared" si="2"/>
        <v>16211506</v>
      </c>
      <c r="D24" s="115">
        <f t="shared" si="2"/>
        <v>9061626.946999999</v>
      </c>
      <c r="E24" s="115">
        <f t="shared" si="2"/>
        <v>5526000.482</v>
      </c>
      <c r="F24" s="115">
        <f t="shared" si="2"/>
        <v>2016269.7950000002</v>
      </c>
      <c r="G24" s="115">
        <f t="shared" si="2"/>
        <v>613033.7939999999</v>
      </c>
      <c r="H24" s="100"/>
      <c r="I24" s="100"/>
    </row>
    <row r="25" spans="1:9" ht="12.75">
      <c r="A25" s="93"/>
      <c r="B25" s="93"/>
      <c r="C25" s="93"/>
      <c r="D25" s="93"/>
      <c r="E25" s="93"/>
      <c r="F25" s="93"/>
      <c r="G25" s="100"/>
      <c r="H25" s="100"/>
      <c r="I25" s="100"/>
    </row>
    <row r="26" spans="1:9" ht="12.75">
      <c r="A26" s="101" t="s">
        <v>458</v>
      </c>
      <c r="B26" s="101">
        <v>91297</v>
      </c>
      <c r="C26" s="110">
        <v>72882</v>
      </c>
      <c r="D26" s="110">
        <v>52268</v>
      </c>
      <c r="E26" s="110">
        <v>36006</v>
      </c>
      <c r="F26" s="112"/>
      <c r="G26" s="100"/>
      <c r="H26" s="100"/>
      <c r="I26" s="100"/>
    </row>
    <row r="27" spans="1:9" ht="12.75">
      <c r="A27" s="101" t="s">
        <v>429</v>
      </c>
      <c r="B27" s="101">
        <v>55044</v>
      </c>
      <c r="C27" s="110">
        <v>61590</v>
      </c>
      <c r="D27" s="110">
        <v>35340</v>
      </c>
      <c r="E27" s="110">
        <v>26287</v>
      </c>
      <c r="F27" s="110">
        <v>11907</v>
      </c>
      <c r="G27" s="100"/>
      <c r="H27" s="100"/>
      <c r="I27" s="100"/>
    </row>
    <row r="28" spans="1:9" ht="12.75">
      <c r="A28" s="101" t="s">
        <v>430</v>
      </c>
      <c r="B28" s="101">
        <v>643</v>
      </c>
      <c r="C28" s="110">
        <v>201</v>
      </c>
      <c r="D28" s="110">
        <v>207</v>
      </c>
      <c r="E28" s="110">
        <v>65</v>
      </c>
      <c r="F28" s="110">
        <v>0</v>
      </c>
      <c r="G28" s="100"/>
      <c r="H28" s="100"/>
      <c r="I28" s="100"/>
    </row>
    <row r="31" spans="4:5" ht="12.75">
      <c r="D31" s="354"/>
      <c r="E31" s="346"/>
    </row>
    <row r="32" spans="4:5" ht="12.75">
      <c r="D32" s="355"/>
      <c r="E32" s="346"/>
    </row>
    <row r="33" spans="4:5" ht="12.75">
      <c r="D33" s="346"/>
      <c r="E33" s="346"/>
    </row>
  </sheetData>
  <sheetProtection/>
  <mergeCells count="5">
    <mergeCell ref="H1:I1"/>
    <mergeCell ref="B18:F18"/>
    <mergeCell ref="B1:C1"/>
    <mergeCell ref="D1:E1"/>
    <mergeCell ref="F1:G1"/>
  </mergeCells>
  <printOptions/>
  <pageMargins left="0.75" right="0.75" top="1" bottom="1" header="0.5" footer="0.5"/>
  <pageSetup firstPageNumber="79" useFirstPageNumber="1" horizontalDpi="600" verticalDpi="600" orientation="landscape" paperSize="9" r:id="rId1"/>
  <headerFooter alignWithMargins="0">
    <oddHeader>&amp;C&amp;"Times New Roman,Bold"&amp;14 7.1. ÞRÓUN SÉREIGNARSPARNAÐAR HJÁ LÍFEYRISSJÓÐUM OG ÖÐRUM VÖRSLUAÐILUM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3">
      <selection activeCell="A13" sqref="A13"/>
    </sheetView>
  </sheetViews>
  <sheetFormatPr defaultColWidth="9.140625" defaultRowHeight="12.75"/>
  <cols>
    <col min="1" max="1" width="3.28125" style="311" customWidth="1"/>
    <col min="2" max="2" width="3.00390625" style="311" customWidth="1"/>
    <col min="3" max="3" width="38.57421875" style="298" customWidth="1"/>
    <col min="4" max="4" width="4.8515625" style="304" customWidth="1"/>
    <col min="5" max="5" width="11.00390625" style="303" customWidth="1"/>
    <col min="6" max="6" width="3.28125" style="298" customWidth="1"/>
    <col min="7" max="7" width="11.00390625" style="303" customWidth="1"/>
    <col min="8" max="8" width="3.57421875" style="298" customWidth="1"/>
    <col min="9" max="9" width="8.421875" style="298" customWidth="1"/>
    <col min="10" max="11" width="0" style="298" hidden="1" customWidth="1"/>
    <col min="12" max="12" width="9.140625" style="298" customWidth="1"/>
    <col min="13" max="13" width="9.57421875" style="298" bestFit="1" customWidth="1"/>
    <col min="14" max="16384" width="9.140625" style="298" customWidth="1"/>
  </cols>
  <sheetData>
    <row r="1" spans="1:9" ht="12.75">
      <c r="A1" s="308"/>
      <c r="B1" s="308"/>
      <c r="C1" s="309"/>
      <c r="D1" s="294"/>
      <c r="E1" s="295" t="s">
        <v>47</v>
      </c>
      <c r="F1" s="296"/>
      <c r="G1" s="295" t="s">
        <v>47</v>
      </c>
      <c r="H1" s="296"/>
      <c r="I1" s="297" t="s">
        <v>48</v>
      </c>
    </row>
    <row r="2" spans="1:9" ht="13.5" customHeight="1">
      <c r="A2" s="308"/>
      <c r="B2" s="308"/>
      <c r="C2" s="309"/>
      <c r="D2" s="299"/>
      <c r="E2" s="300" t="s">
        <v>524</v>
      </c>
      <c r="F2" s="296"/>
      <c r="G2" s="300" t="s">
        <v>463</v>
      </c>
      <c r="H2" s="296"/>
      <c r="I2" s="301" t="s">
        <v>525</v>
      </c>
    </row>
    <row r="3" spans="1:9" ht="13.5" customHeight="1">
      <c r="A3" s="308"/>
      <c r="B3" s="308"/>
      <c r="C3" s="309"/>
      <c r="D3" s="299"/>
      <c r="E3" s="302" t="s">
        <v>49</v>
      </c>
      <c r="F3" s="122"/>
      <c r="G3" s="302" t="s">
        <v>49</v>
      </c>
      <c r="H3" s="122"/>
      <c r="I3" s="122" t="s">
        <v>50</v>
      </c>
    </row>
    <row r="4" spans="1:9" ht="7.5" customHeight="1">
      <c r="A4" s="308"/>
      <c r="B4" s="308"/>
      <c r="C4" s="309"/>
      <c r="D4" s="299"/>
      <c r="H4" s="309"/>
      <c r="I4" s="309"/>
    </row>
    <row r="5" spans="1:15" ht="13.5" customHeight="1">
      <c r="A5" s="308">
        <v>1</v>
      </c>
      <c r="B5" s="308"/>
      <c r="C5" s="309" t="s">
        <v>31</v>
      </c>
      <c r="D5" s="299" t="s">
        <v>405</v>
      </c>
      <c r="E5" s="56">
        <f>'3.2 Efnah.'!B57</f>
        <v>179861123.10000002</v>
      </c>
      <c r="F5" s="11"/>
      <c r="G5" s="303">
        <f>+'3.1 Yfirlit '!B64</f>
        <v>145982582.4</v>
      </c>
      <c r="H5" s="7"/>
      <c r="I5" s="40">
        <f aca="true" t="shared" si="0" ref="I5:I36">(E5/G5)-1</f>
        <v>0.23207248524465074</v>
      </c>
      <c r="M5" s="303"/>
      <c r="N5" s="7"/>
      <c r="O5" s="7"/>
    </row>
    <row r="6" spans="1:14" ht="13.5" customHeight="1">
      <c r="A6" s="308">
        <v>2</v>
      </c>
      <c r="B6" s="308"/>
      <c r="C6" s="309" t="s">
        <v>37</v>
      </c>
      <c r="D6" s="299"/>
      <c r="E6" s="7">
        <f>'3.2 Efnah.'!C57</f>
        <v>150701842</v>
      </c>
      <c r="F6" s="11"/>
      <c r="G6" s="303">
        <f>+'3.1 Yfirlit '!C64</f>
        <v>123657259</v>
      </c>
      <c r="H6" s="7"/>
      <c r="I6" s="40">
        <f t="shared" si="0"/>
        <v>0.21870598797600715</v>
      </c>
      <c r="M6" s="303"/>
      <c r="N6" s="7"/>
    </row>
    <row r="7" spans="1:14" ht="13.5" customHeight="1">
      <c r="A7" s="308">
        <v>3</v>
      </c>
      <c r="B7" s="308"/>
      <c r="C7" s="309" t="s">
        <v>41</v>
      </c>
      <c r="D7" s="299"/>
      <c r="E7" s="7">
        <f>'3.2 Efnah.'!D57</f>
        <v>77326397.543</v>
      </c>
      <c r="F7" s="11"/>
      <c r="G7" s="303">
        <f>+'3.1 Yfirlit '!D64</f>
        <v>64122732.673</v>
      </c>
      <c r="H7" s="7"/>
      <c r="I7" s="40">
        <f t="shared" si="0"/>
        <v>0.2059123858200702</v>
      </c>
      <c r="M7" s="303"/>
      <c r="N7" s="7"/>
    </row>
    <row r="8" spans="1:14" ht="13.5" customHeight="1">
      <c r="A8" s="308">
        <v>4</v>
      </c>
      <c r="B8" s="308"/>
      <c r="C8" s="309" t="s">
        <v>25</v>
      </c>
      <c r="D8" s="299"/>
      <c r="E8" s="7">
        <f>'3.2 Efnah.'!E57</f>
        <v>68451595</v>
      </c>
      <c r="F8" s="11"/>
      <c r="G8" s="303">
        <f>+'3.1 Yfirlit '!E64</f>
        <v>56246990</v>
      </c>
      <c r="H8" s="7"/>
      <c r="I8" s="40">
        <f t="shared" si="0"/>
        <v>0.21698236652307967</v>
      </c>
      <c r="M8" s="303"/>
      <c r="N8" s="7"/>
    </row>
    <row r="9" spans="1:14" ht="13.5" customHeight="1">
      <c r="A9" s="308">
        <v>5</v>
      </c>
      <c r="B9" s="308"/>
      <c r="C9" s="309" t="s">
        <v>44</v>
      </c>
      <c r="D9" s="299"/>
      <c r="E9" s="7">
        <f>'3.2 Efnah.'!F57</f>
        <v>59778385</v>
      </c>
      <c r="F9" s="11"/>
      <c r="G9" s="303">
        <f>+'3.1 Yfirlit '!F64</f>
        <v>52296138</v>
      </c>
      <c r="H9" s="7"/>
      <c r="I9" s="40">
        <f t="shared" si="0"/>
        <v>0.14307456126110107</v>
      </c>
      <c r="M9" s="303"/>
      <c r="N9" s="7"/>
    </row>
    <row r="10" spans="1:14" ht="13.5" customHeight="1">
      <c r="A10" s="308">
        <v>6</v>
      </c>
      <c r="B10" s="308"/>
      <c r="C10" s="309" t="s">
        <v>23</v>
      </c>
      <c r="D10" s="299"/>
      <c r="E10" s="7">
        <f>+'3.2 Efnah.'!G57</f>
        <v>39167662.35500001</v>
      </c>
      <c r="F10" s="11"/>
      <c r="G10" s="7">
        <f>+'3.1 Yfirlit '!G64</f>
        <v>32411283</v>
      </c>
      <c r="H10" s="7"/>
      <c r="I10" s="40">
        <f t="shared" si="0"/>
        <v>0.20845763356544733</v>
      </c>
      <c r="M10" s="303"/>
      <c r="N10" s="7"/>
    </row>
    <row r="11" spans="1:14" ht="13.5" customHeight="1">
      <c r="A11" s="308">
        <v>7</v>
      </c>
      <c r="B11" s="308"/>
      <c r="C11" s="309" t="s">
        <v>9</v>
      </c>
      <c r="D11" s="299" t="s">
        <v>51</v>
      </c>
      <c r="E11" s="303">
        <f>'3.2 Efnah.'!H57</f>
        <v>35658115.8</v>
      </c>
      <c r="F11" s="11"/>
      <c r="G11" s="303">
        <f>+'3.1 Yfirlit '!H64</f>
        <v>28851012.799999997</v>
      </c>
      <c r="H11" s="7"/>
      <c r="I11" s="40">
        <f t="shared" si="0"/>
        <v>0.23593982808118263</v>
      </c>
      <c r="M11" s="303"/>
      <c r="N11" s="7"/>
    </row>
    <row r="12" spans="1:14" ht="13.5" customHeight="1">
      <c r="A12" s="308">
        <v>8</v>
      </c>
      <c r="B12" s="308"/>
      <c r="C12" s="309" t="s">
        <v>46</v>
      </c>
      <c r="D12" s="299"/>
      <c r="E12" s="7">
        <f>'3.2 Efnah.'!I57</f>
        <v>33790004</v>
      </c>
      <c r="F12" s="11"/>
      <c r="G12" s="7">
        <f>+'3.1 Yfirlit '!I64</f>
        <v>28332239</v>
      </c>
      <c r="H12" s="7"/>
      <c r="I12" s="40">
        <f t="shared" si="0"/>
        <v>0.19263444022196774</v>
      </c>
      <c r="M12" s="303"/>
      <c r="N12" s="7"/>
    </row>
    <row r="13" spans="1:14" ht="13.5" customHeight="1">
      <c r="A13" s="308">
        <v>9</v>
      </c>
      <c r="B13" s="308"/>
      <c r="C13" s="309" t="s">
        <v>468</v>
      </c>
      <c r="D13" s="299"/>
      <c r="E13" s="303">
        <f>'3.2 Efnah.'!J57</f>
        <v>33106690.901657876</v>
      </c>
      <c r="F13" s="11"/>
      <c r="G13" s="303">
        <f>+'3.1 Yfirlit '!J64</f>
        <v>26174734.9345</v>
      </c>
      <c r="H13" s="7"/>
      <c r="I13" s="40">
        <f t="shared" si="0"/>
        <v>0.2648338554145626</v>
      </c>
      <c r="M13" s="303"/>
      <c r="N13" s="7"/>
    </row>
    <row r="14" spans="1:14" ht="13.5" customHeight="1">
      <c r="A14" s="308">
        <v>10</v>
      </c>
      <c r="B14" s="308"/>
      <c r="C14" s="309" t="s">
        <v>42</v>
      </c>
      <c r="D14" s="299"/>
      <c r="E14" s="303">
        <f>'3.2 Efnah.'!K57</f>
        <v>27249424</v>
      </c>
      <c r="F14" s="11"/>
      <c r="G14" s="7">
        <f>+'3.1 Yfirlit '!K64</f>
        <v>22826730</v>
      </c>
      <c r="H14" s="7"/>
      <c r="I14" s="40">
        <f t="shared" si="0"/>
        <v>0.19375065986236306</v>
      </c>
      <c r="M14" s="303"/>
      <c r="N14" s="7"/>
    </row>
    <row r="15" spans="1:14" ht="13.5" customHeight="1">
      <c r="A15" s="308">
        <v>11</v>
      </c>
      <c r="B15" s="308"/>
      <c r="C15" s="309" t="s">
        <v>14</v>
      </c>
      <c r="D15" s="299"/>
      <c r="E15" s="303">
        <f>'3.2 Efnah.'!L57</f>
        <v>25567811</v>
      </c>
      <c r="F15" s="11"/>
      <c r="G15" s="7">
        <f>+'3.1 Yfirlit '!L64</f>
        <v>22469757</v>
      </c>
      <c r="H15" s="7"/>
      <c r="I15" s="40">
        <f t="shared" si="0"/>
        <v>0.13787661344090196</v>
      </c>
      <c r="M15" s="303"/>
      <c r="N15" s="7"/>
    </row>
    <row r="16" spans="1:14" ht="13.5" customHeight="1">
      <c r="A16" s="308">
        <v>12</v>
      </c>
      <c r="B16" s="308"/>
      <c r="C16" s="309" t="s">
        <v>45</v>
      </c>
      <c r="D16" s="299"/>
      <c r="E16" s="303">
        <f>'3.2 Efnah.'!M57</f>
        <v>24282104</v>
      </c>
      <c r="F16" s="11"/>
      <c r="G16" s="7">
        <f>+'3.1 Yfirlit '!M64</f>
        <v>20326818</v>
      </c>
      <c r="H16" s="7"/>
      <c r="I16" s="40">
        <f t="shared" si="0"/>
        <v>0.19458461230872426</v>
      </c>
      <c r="M16" s="303"/>
      <c r="N16" s="7"/>
    </row>
    <row r="17" spans="1:14" ht="13.5" customHeight="1">
      <c r="A17" s="308">
        <v>13</v>
      </c>
      <c r="B17" s="308"/>
      <c r="C17" s="309" t="s">
        <v>20</v>
      </c>
      <c r="D17" s="299"/>
      <c r="E17" s="303">
        <f>'3.2 Efnah.'!N57</f>
        <v>18624666</v>
      </c>
      <c r="F17" s="11"/>
      <c r="G17" s="303">
        <f>+'3.1 Yfirlit '!N64</f>
        <v>15564174</v>
      </c>
      <c r="H17" s="7"/>
      <c r="I17" s="40">
        <f t="shared" si="0"/>
        <v>0.19663696897760197</v>
      </c>
      <c r="M17" s="303"/>
      <c r="N17" s="7"/>
    </row>
    <row r="18" spans="1:14" ht="13.5" customHeight="1">
      <c r="A18" s="308">
        <v>14</v>
      </c>
      <c r="B18" s="308"/>
      <c r="C18" s="309" t="s">
        <v>13</v>
      </c>
      <c r="D18" s="299"/>
      <c r="E18" s="303">
        <f>'3.2 Efnah.'!O57</f>
        <v>18355920</v>
      </c>
      <c r="F18" s="11"/>
      <c r="G18" s="7">
        <f>+'3.1 Yfirlit '!O64</f>
        <v>15675788</v>
      </c>
      <c r="H18" s="7"/>
      <c r="I18" s="40">
        <f t="shared" si="0"/>
        <v>0.17097271282311288</v>
      </c>
      <c r="M18" s="303"/>
      <c r="N18" s="7"/>
    </row>
    <row r="19" spans="1:14" ht="13.5" customHeight="1">
      <c r="A19" s="308">
        <v>15</v>
      </c>
      <c r="B19" s="308"/>
      <c r="C19" s="309" t="s">
        <v>38</v>
      </c>
      <c r="D19" s="299"/>
      <c r="E19" s="303">
        <f>'3.2 Efnah.'!P57</f>
        <v>17850447.016</v>
      </c>
      <c r="F19" s="11"/>
      <c r="G19" s="303">
        <f>+'3.1 Yfirlit '!P64</f>
        <v>15200632.531</v>
      </c>
      <c r="H19" s="7"/>
      <c r="I19" s="40">
        <f t="shared" si="0"/>
        <v>0.17432264608699644</v>
      </c>
      <c r="M19" s="303"/>
      <c r="N19" s="7"/>
    </row>
    <row r="20" spans="1:14" ht="13.5" customHeight="1">
      <c r="A20" s="308">
        <v>16</v>
      </c>
      <c r="B20" s="308"/>
      <c r="C20" s="309" t="s">
        <v>36</v>
      </c>
      <c r="D20" s="299"/>
      <c r="E20" s="303">
        <f>'3.2 Efnah.'!Q57</f>
        <v>17595850</v>
      </c>
      <c r="F20" s="11"/>
      <c r="G20" s="303">
        <f>+'3.1 Yfirlit '!Q64</f>
        <v>14746695</v>
      </c>
      <c r="H20" s="7"/>
      <c r="I20" s="40">
        <f t="shared" si="0"/>
        <v>0.19320634216683796</v>
      </c>
      <c r="M20" s="303"/>
      <c r="N20" s="7"/>
    </row>
    <row r="21" spans="1:14" ht="13.5" customHeight="1">
      <c r="A21" s="308">
        <v>17</v>
      </c>
      <c r="B21" s="308"/>
      <c r="C21" s="309" t="s">
        <v>19</v>
      </c>
      <c r="D21" s="299" t="s">
        <v>52</v>
      </c>
      <c r="E21" s="303">
        <f>'3.2 Efnah.'!R57</f>
        <v>15519891</v>
      </c>
      <c r="F21" s="11"/>
      <c r="G21" s="303">
        <f>+'3.1 Yfirlit '!R64</f>
        <v>12937557</v>
      </c>
      <c r="H21" s="7"/>
      <c r="I21" s="40">
        <f t="shared" si="0"/>
        <v>0.19959981625588208</v>
      </c>
      <c r="M21" s="303"/>
      <c r="N21" s="7"/>
    </row>
    <row r="22" spans="1:14" ht="13.5" customHeight="1">
      <c r="A22" s="308">
        <v>18</v>
      </c>
      <c r="B22" s="308"/>
      <c r="C22" s="309" t="s">
        <v>34</v>
      </c>
      <c r="D22" s="299"/>
      <c r="E22" s="303">
        <f>'3.2 Efnah.'!S57</f>
        <v>15433319</v>
      </c>
      <c r="F22" s="11"/>
      <c r="G22" s="303">
        <f>+'3.1 Yfirlit '!S64</f>
        <v>13717389</v>
      </c>
      <c r="H22" s="7"/>
      <c r="I22" s="40">
        <f t="shared" si="0"/>
        <v>0.12509158995199443</v>
      </c>
      <c r="M22" s="303"/>
      <c r="N22" s="7"/>
    </row>
    <row r="23" spans="1:14" ht="13.5" customHeight="1">
      <c r="A23" s="308">
        <v>19</v>
      </c>
      <c r="B23" s="308"/>
      <c r="C23" s="309" t="s">
        <v>39</v>
      </c>
      <c r="D23" s="299"/>
      <c r="E23" s="303">
        <f>'3.2 Efnah.'!T57</f>
        <v>15062065.376</v>
      </c>
      <c r="F23" s="11"/>
      <c r="G23" s="303">
        <f>+'3.1 Yfirlit '!T64</f>
        <v>12922346</v>
      </c>
      <c r="H23" s="7"/>
      <c r="I23" s="40">
        <f t="shared" si="0"/>
        <v>0.16558288843217794</v>
      </c>
      <c r="M23" s="303"/>
      <c r="N23" s="7"/>
    </row>
    <row r="24" spans="1:14" ht="13.5" customHeight="1">
      <c r="A24" s="308">
        <v>20</v>
      </c>
      <c r="B24" s="308"/>
      <c r="C24" s="309" t="s">
        <v>16</v>
      </c>
      <c r="D24" s="299"/>
      <c r="E24" s="303">
        <f>'3.2 Efnah.'!U57</f>
        <v>13894193.608</v>
      </c>
      <c r="F24" s="11"/>
      <c r="G24" s="303">
        <f>+'3.1 Yfirlit '!U64</f>
        <v>12696730</v>
      </c>
      <c r="H24" s="7"/>
      <c r="I24" s="40">
        <f t="shared" si="0"/>
        <v>0.0943127567491786</v>
      </c>
      <c r="M24" s="303"/>
      <c r="N24" s="7"/>
    </row>
    <row r="25" spans="1:14" ht="13.5" customHeight="1">
      <c r="A25" s="308">
        <v>21</v>
      </c>
      <c r="B25" s="308"/>
      <c r="C25" s="298" t="s">
        <v>32</v>
      </c>
      <c r="D25" s="304" t="s">
        <v>528</v>
      </c>
      <c r="E25" s="303">
        <f>'3.2 Efnah.'!V57</f>
        <v>12382185.011999998</v>
      </c>
      <c r="F25" s="7"/>
      <c r="G25" s="303">
        <f>+'3.1 Yfirlit '!V64</f>
        <v>9123479.742</v>
      </c>
      <c r="H25" s="7"/>
      <c r="I25" s="40">
        <f t="shared" si="0"/>
        <v>0.35717789288209034</v>
      </c>
      <c r="M25" s="303"/>
      <c r="N25" s="7"/>
    </row>
    <row r="26" spans="1:14" ht="13.5" customHeight="1">
      <c r="A26" s="308">
        <v>22</v>
      </c>
      <c r="B26" s="308"/>
      <c r="C26" s="309" t="s">
        <v>40</v>
      </c>
      <c r="D26" s="299"/>
      <c r="E26" s="303">
        <f>'3.2 Efnah.'!W57</f>
        <v>11295059</v>
      </c>
      <c r="F26" s="11"/>
      <c r="G26" s="303">
        <f>+'3.1 Yfirlit '!W64</f>
        <v>9583301</v>
      </c>
      <c r="H26" s="7"/>
      <c r="I26" s="40">
        <f t="shared" si="0"/>
        <v>0.1786188287313526</v>
      </c>
      <c r="M26" s="303"/>
      <c r="N26" s="7"/>
    </row>
    <row r="27" spans="1:14" ht="13.5" customHeight="1">
      <c r="A27" s="308">
        <v>23</v>
      </c>
      <c r="B27" s="308"/>
      <c r="C27" s="309" t="s">
        <v>30</v>
      </c>
      <c r="D27" s="299" t="s">
        <v>52</v>
      </c>
      <c r="E27" s="303">
        <f>'3.2 Efnah.'!X57</f>
        <v>10959237.447999999</v>
      </c>
      <c r="F27" s="11"/>
      <c r="G27" s="303">
        <f>+'3.1 Yfirlit '!X64</f>
        <v>10044470.85</v>
      </c>
      <c r="H27" s="7"/>
      <c r="I27" s="40">
        <f t="shared" si="0"/>
        <v>0.0910716564028855</v>
      </c>
      <c r="M27" s="303"/>
      <c r="N27" s="7"/>
    </row>
    <row r="28" spans="1:14" ht="13.5" customHeight="1">
      <c r="A28" s="308">
        <v>24</v>
      </c>
      <c r="B28" s="308"/>
      <c r="C28" s="309" t="s">
        <v>10</v>
      </c>
      <c r="D28" s="299"/>
      <c r="E28" s="303">
        <f>'3.2 Efnah.'!Y57</f>
        <v>10352122.675999999</v>
      </c>
      <c r="F28" s="11"/>
      <c r="G28" s="303">
        <f>+'3.1 Yfirlit '!Y64</f>
        <v>7745837.499</v>
      </c>
      <c r="H28" s="7"/>
      <c r="I28" s="40">
        <f t="shared" si="0"/>
        <v>0.3364755815412439</v>
      </c>
      <c r="M28" s="303"/>
      <c r="N28" s="7"/>
    </row>
    <row r="29" spans="1:14" ht="13.5" customHeight="1">
      <c r="A29" s="308">
        <v>25</v>
      </c>
      <c r="B29" s="308"/>
      <c r="C29" s="309" t="s">
        <v>4</v>
      </c>
      <c r="D29" s="299"/>
      <c r="E29" s="303">
        <f>'3.2 Efnah.'!Z57</f>
        <v>10193237</v>
      </c>
      <c r="F29" s="11"/>
      <c r="G29" s="303">
        <f>+'3.1 Yfirlit '!Z64</f>
        <v>9026776</v>
      </c>
      <c r="H29" s="7"/>
      <c r="I29" s="40">
        <f t="shared" si="0"/>
        <v>0.12922232699692549</v>
      </c>
      <c r="M29" s="303"/>
      <c r="N29" s="7"/>
    </row>
    <row r="30" spans="1:14" ht="13.5" customHeight="1">
      <c r="A30" s="308">
        <v>26</v>
      </c>
      <c r="B30" s="308"/>
      <c r="C30" s="309" t="s">
        <v>27</v>
      </c>
      <c r="D30" s="299"/>
      <c r="E30" s="303">
        <f>'3.2 Efnah.'!AA57</f>
        <v>9071163.296000002</v>
      </c>
      <c r="F30" s="11"/>
      <c r="G30" s="303">
        <f>+'3.1 Yfirlit '!AA64</f>
        <v>7502572.157</v>
      </c>
      <c r="H30" s="7"/>
      <c r="I30" s="40">
        <f t="shared" si="0"/>
        <v>0.20907378245425945</v>
      </c>
      <c r="M30" s="303"/>
      <c r="N30" s="7"/>
    </row>
    <row r="31" spans="1:14" ht="13.5" customHeight="1">
      <c r="A31" s="308">
        <v>27</v>
      </c>
      <c r="B31" s="308"/>
      <c r="C31" s="309" t="s">
        <v>33</v>
      </c>
      <c r="D31" s="299"/>
      <c r="E31" s="303">
        <f>'3.2 Efnah.'!AB57</f>
        <v>7326024</v>
      </c>
      <c r="F31" s="11"/>
      <c r="G31" s="303">
        <f>+'3.1 Yfirlit '!AB64</f>
        <v>6409499</v>
      </c>
      <c r="H31" s="7"/>
      <c r="I31" s="40">
        <f t="shared" si="0"/>
        <v>0.14299479569307993</v>
      </c>
      <c r="M31" s="303"/>
      <c r="N31" s="7"/>
    </row>
    <row r="32" spans="1:14" ht="13.5" customHeight="1">
      <c r="A32" s="308">
        <v>28</v>
      </c>
      <c r="B32" s="308"/>
      <c r="C32" s="309" t="s">
        <v>3</v>
      </c>
      <c r="D32" s="299" t="s">
        <v>58</v>
      </c>
      <c r="E32" s="303">
        <f>'3.2 Efnah.'!AC57</f>
        <v>4096092.716</v>
      </c>
      <c r="F32" s="11"/>
      <c r="G32" s="303">
        <f>+'3.1 Yfirlit '!AC64</f>
        <v>3247975</v>
      </c>
      <c r="H32" s="7"/>
      <c r="I32" s="40">
        <f t="shared" si="0"/>
        <v>0.2611219963207845</v>
      </c>
      <c r="M32" s="303"/>
      <c r="N32" s="7"/>
    </row>
    <row r="33" spans="1:14" ht="13.5" customHeight="1">
      <c r="A33" s="308">
        <v>29</v>
      </c>
      <c r="B33" s="308"/>
      <c r="C33" s="309" t="s">
        <v>17</v>
      </c>
      <c r="D33" s="299" t="s">
        <v>53</v>
      </c>
      <c r="E33" s="303">
        <f>'3.2 Efnah.'!AD57</f>
        <v>3119405</v>
      </c>
      <c r="F33" s="11"/>
      <c r="G33" s="303">
        <f>+'3.1 Yfirlit '!AD64</f>
        <v>2728172</v>
      </c>
      <c r="H33" s="7"/>
      <c r="I33" s="40">
        <f t="shared" si="0"/>
        <v>0.1434048146524487</v>
      </c>
      <c r="M33" s="303"/>
      <c r="N33" s="7"/>
    </row>
    <row r="34" spans="1:14" ht="13.5" customHeight="1">
      <c r="A34" s="308">
        <v>30</v>
      </c>
      <c r="B34" s="308"/>
      <c r="C34" s="309" t="s">
        <v>24</v>
      </c>
      <c r="D34" s="299"/>
      <c r="E34" s="303">
        <f>'3.2 Efnah.'!AE57</f>
        <v>2973577</v>
      </c>
      <c r="F34" s="11"/>
      <c r="G34" s="303">
        <f>+'3.1 Yfirlit '!AE64</f>
        <v>2679858</v>
      </c>
      <c r="H34" s="7"/>
      <c r="I34" s="40">
        <f t="shared" si="0"/>
        <v>0.10960244908498873</v>
      </c>
      <c r="M34" s="303"/>
      <c r="N34" s="7"/>
    </row>
    <row r="35" spans="1:14" ht="13.5" customHeight="1">
      <c r="A35" s="308">
        <v>31</v>
      </c>
      <c r="B35" s="308"/>
      <c r="C35" s="309" t="s">
        <v>15</v>
      </c>
      <c r="D35" s="299"/>
      <c r="E35" s="303">
        <f>'3.2 Efnah.'!AF57</f>
        <v>2542380</v>
      </c>
      <c r="F35" s="11"/>
      <c r="G35" s="303">
        <f>+'3.1 Yfirlit '!AF64</f>
        <v>2279171</v>
      </c>
      <c r="H35" s="7"/>
      <c r="I35" s="40">
        <f t="shared" si="0"/>
        <v>0.11548453363086852</v>
      </c>
      <c r="M35" s="303"/>
      <c r="N35" s="7"/>
    </row>
    <row r="36" spans="1:14" ht="13.5" customHeight="1">
      <c r="A36" s="308">
        <v>32</v>
      </c>
      <c r="B36" s="308"/>
      <c r="C36" s="309" t="s">
        <v>18</v>
      </c>
      <c r="D36" s="299" t="s">
        <v>54</v>
      </c>
      <c r="E36" s="303">
        <f>'3.2 Efnah.'!AG57</f>
        <v>2418684</v>
      </c>
      <c r="F36" s="11"/>
      <c r="G36" s="303">
        <f>+'3.1 Yfirlit '!AG64</f>
        <v>2250869</v>
      </c>
      <c r="H36" s="7"/>
      <c r="I36" s="40">
        <f t="shared" si="0"/>
        <v>0.07455564939585546</v>
      </c>
      <c r="M36" s="303"/>
      <c r="N36" s="7"/>
    </row>
    <row r="37" spans="1:14" ht="13.5" customHeight="1">
      <c r="A37" s="308">
        <v>33</v>
      </c>
      <c r="B37" s="308"/>
      <c r="C37" s="298" t="s">
        <v>35</v>
      </c>
      <c r="E37" s="303">
        <f>+'3.2 Efnah.'!AH57</f>
        <v>1842771</v>
      </c>
      <c r="F37" s="7"/>
      <c r="G37" s="303">
        <f>+'3.1 Yfirlit '!AH64</f>
        <v>1585889</v>
      </c>
      <c r="H37" s="7"/>
      <c r="I37" s="40">
        <f aca="true" t="shared" si="1" ref="I37:I53">(E37/G37)-1</f>
        <v>0.16197981069293</v>
      </c>
      <c r="M37" s="303"/>
      <c r="N37" s="7"/>
    </row>
    <row r="38" spans="1:14" ht="13.5" customHeight="1">
      <c r="A38" s="308">
        <v>34</v>
      </c>
      <c r="B38" s="308"/>
      <c r="C38" s="309" t="s">
        <v>373</v>
      </c>
      <c r="D38" s="299" t="s">
        <v>52</v>
      </c>
      <c r="E38" s="303">
        <f>'3.2 Efnah.'!AI57</f>
        <v>1747772.961</v>
      </c>
      <c r="F38" s="11"/>
      <c r="G38" s="303">
        <f>+'3.1 Yfirlit '!AI64</f>
        <v>1601449</v>
      </c>
      <c r="H38" s="7"/>
      <c r="I38" s="40">
        <f t="shared" si="1"/>
        <v>0.09136972891425188</v>
      </c>
      <c r="M38" s="303"/>
      <c r="N38" s="7"/>
    </row>
    <row r="39" spans="1:14" ht="13.5" customHeight="1">
      <c r="A39" s="308">
        <v>35</v>
      </c>
      <c r="B39" s="308"/>
      <c r="C39" s="298" t="s">
        <v>2</v>
      </c>
      <c r="D39" s="304" t="s">
        <v>52</v>
      </c>
      <c r="E39" s="303">
        <f>'3.2 Efnah.'!AJ57</f>
        <v>1625460</v>
      </c>
      <c r="F39" s="7"/>
      <c r="G39" s="303">
        <f>+'3.1 Yfirlit '!AJ64</f>
        <v>1475470.407</v>
      </c>
      <c r="H39" s="7"/>
      <c r="I39" s="40">
        <f t="shared" si="1"/>
        <v>0.10165543970818525</v>
      </c>
      <c r="M39" s="303"/>
      <c r="N39" s="7"/>
    </row>
    <row r="40" spans="1:14" ht="13.5" customHeight="1">
      <c r="A40" s="308">
        <v>36</v>
      </c>
      <c r="B40" s="308"/>
      <c r="C40" s="298" t="s">
        <v>21</v>
      </c>
      <c r="D40" s="304" t="s">
        <v>54</v>
      </c>
      <c r="E40" s="303">
        <f>'3.2 Efnah.'!AK57</f>
        <v>1480328</v>
      </c>
      <c r="F40" s="7"/>
      <c r="G40" s="303">
        <f>+'3.1 Yfirlit '!AK64</f>
        <v>1368427</v>
      </c>
      <c r="H40" s="7"/>
      <c r="I40" s="40">
        <f t="shared" si="1"/>
        <v>0.08177345229230348</v>
      </c>
      <c r="M40" s="303"/>
      <c r="N40" s="7"/>
    </row>
    <row r="41" spans="1:14" ht="13.5" customHeight="1">
      <c r="A41" s="308">
        <v>37</v>
      </c>
      <c r="B41" s="308"/>
      <c r="C41" s="298" t="s">
        <v>26</v>
      </c>
      <c r="D41" s="304" t="s">
        <v>52</v>
      </c>
      <c r="E41" s="303">
        <f>'3.2 Efnah.'!AL57</f>
        <v>1306001</v>
      </c>
      <c r="F41" s="7"/>
      <c r="G41" s="303">
        <f>+'3.1 Yfirlit '!AL64</f>
        <v>1182750</v>
      </c>
      <c r="H41" s="7"/>
      <c r="I41" s="40">
        <f t="shared" si="1"/>
        <v>0.10420714436694145</v>
      </c>
      <c r="M41" s="303"/>
      <c r="N41" s="7"/>
    </row>
    <row r="42" spans="1:14" ht="13.5" customHeight="1">
      <c r="A42" s="308">
        <v>38</v>
      </c>
      <c r="B42" s="308"/>
      <c r="C42" s="298" t="s">
        <v>12</v>
      </c>
      <c r="D42" s="304" t="s">
        <v>52</v>
      </c>
      <c r="E42" s="303">
        <f>'3.2 Efnah.'!AM57</f>
        <v>946454</v>
      </c>
      <c r="F42" s="7"/>
      <c r="G42" s="303">
        <f>+'3.1 Yfirlit '!AM64</f>
        <v>885206</v>
      </c>
      <c r="H42" s="7"/>
      <c r="I42" s="40">
        <f t="shared" si="1"/>
        <v>0.06919067426113235</v>
      </c>
      <c r="M42" s="303"/>
      <c r="N42" s="7"/>
    </row>
    <row r="43" spans="1:14" ht="13.5" customHeight="1">
      <c r="A43" s="308">
        <v>39</v>
      </c>
      <c r="B43" s="308"/>
      <c r="C43" s="298" t="s">
        <v>8</v>
      </c>
      <c r="D43" s="304" t="s">
        <v>54</v>
      </c>
      <c r="E43" s="303">
        <f>'3.2 Efnah.'!AN57</f>
        <v>702482</v>
      </c>
      <c r="F43" s="7"/>
      <c r="G43" s="303">
        <f>+'3.1 Yfirlit '!AN64</f>
        <v>665253</v>
      </c>
      <c r="H43" s="7"/>
      <c r="I43" s="40">
        <f t="shared" si="1"/>
        <v>0.055962167776770544</v>
      </c>
      <c r="M43" s="303"/>
      <c r="N43" s="7"/>
    </row>
    <row r="44" spans="1:14" ht="13.5" customHeight="1">
      <c r="A44" s="308">
        <v>40</v>
      </c>
      <c r="B44" s="308"/>
      <c r="C44" s="298" t="s">
        <v>6</v>
      </c>
      <c r="D44" s="304" t="s">
        <v>54</v>
      </c>
      <c r="E44" s="303">
        <f>'3.2 Efnah.'!AO57</f>
        <v>613987.657</v>
      </c>
      <c r="F44" s="7"/>
      <c r="G44" s="303">
        <f>+'3.1 Yfirlit '!AO64</f>
        <v>595105.652</v>
      </c>
      <c r="H44" s="7"/>
      <c r="I44" s="40">
        <f t="shared" si="1"/>
        <v>0.031728828211498916</v>
      </c>
      <c r="M44" s="303"/>
      <c r="N44" s="7"/>
    </row>
    <row r="45" spans="1:14" ht="13.5" customHeight="1">
      <c r="A45" s="308">
        <v>41</v>
      </c>
      <c r="B45" s="308"/>
      <c r="C45" s="298" t="s">
        <v>5</v>
      </c>
      <c r="D45" s="304" t="s">
        <v>52</v>
      </c>
      <c r="E45" s="303">
        <f>'3.2 Efnah.'!AP57</f>
        <v>608528</v>
      </c>
      <c r="F45" s="7"/>
      <c r="G45" s="303">
        <f>+'3.1 Yfirlit '!AP64</f>
        <v>550918</v>
      </c>
      <c r="H45" s="7"/>
      <c r="I45" s="40">
        <f t="shared" si="1"/>
        <v>0.10457091617990333</v>
      </c>
      <c r="M45" s="303"/>
      <c r="N45" s="7"/>
    </row>
    <row r="46" spans="1:14" ht="13.5" customHeight="1">
      <c r="A46" s="308">
        <v>42</v>
      </c>
      <c r="B46" s="308"/>
      <c r="C46" s="298" t="s">
        <v>11</v>
      </c>
      <c r="D46" s="304" t="s">
        <v>54</v>
      </c>
      <c r="E46" s="303">
        <f>'3.2 Efnah.'!AQ57</f>
        <v>505608</v>
      </c>
      <c r="F46" s="7"/>
      <c r="G46" s="303">
        <f>+'3.1 Yfirlit '!AQ64</f>
        <v>486958</v>
      </c>
      <c r="H46" s="7"/>
      <c r="I46" s="40">
        <f t="shared" si="1"/>
        <v>0.03829899087806332</v>
      </c>
      <c r="M46" s="303"/>
      <c r="N46" s="7"/>
    </row>
    <row r="47" spans="1:14" ht="13.5" customHeight="1">
      <c r="A47" s="308">
        <v>43</v>
      </c>
      <c r="B47" s="308"/>
      <c r="C47" s="298" t="s">
        <v>43</v>
      </c>
      <c r="D47" s="304" t="s">
        <v>54</v>
      </c>
      <c r="E47" s="303">
        <f>'3.2 Efnah.'!AR57</f>
        <v>458796</v>
      </c>
      <c r="F47" s="7"/>
      <c r="G47" s="303">
        <f>+'3.1 Yfirlit '!AR64</f>
        <v>452728</v>
      </c>
      <c r="H47" s="7"/>
      <c r="I47" s="40">
        <f t="shared" si="1"/>
        <v>0.013403191320174646</v>
      </c>
      <c r="M47" s="303"/>
      <c r="N47" s="7"/>
    </row>
    <row r="48" spans="1:14" ht="13.5" customHeight="1">
      <c r="A48" s="308">
        <v>44</v>
      </c>
      <c r="B48" s="308"/>
      <c r="C48" s="298" t="s">
        <v>506</v>
      </c>
      <c r="D48" s="304" t="s">
        <v>52</v>
      </c>
      <c r="E48" s="303">
        <f>'3.2 Efnah.'!AS57</f>
        <v>399523.5899999999</v>
      </c>
      <c r="F48" s="7"/>
      <c r="G48" s="303">
        <f>+'3.1 Yfirlit '!AS64</f>
        <v>366418.1</v>
      </c>
      <c r="H48" s="7"/>
      <c r="I48" s="40">
        <f t="shared" si="1"/>
        <v>0.0903489483734563</v>
      </c>
      <c r="M48" s="303"/>
      <c r="N48" s="7"/>
    </row>
    <row r="49" spans="1:14" ht="13.5" customHeight="1">
      <c r="A49" s="308">
        <v>45</v>
      </c>
      <c r="B49" s="308"/>
      <c r="C49" s="298" t="s">
        <v>22</v>
      </c>
      <c r="D49" s="304" t="s">
        <v>52</v>
      </c>
      <c r="E49" s="303">
        <f>'3.2 Efnah.'!AT57</f>
        <v>210244</v>
      </c>
      <c r="F49" s="7"/>
      <c r="G49" s="303">
        <f>+'3.1 Yfirlit '!AT64</f>
        <v>195390</v>
      </c>
      <c r="H49" s="7"/>
      <c r="I49" s="40">
        <f t="shared" si="1"/>
        <v>0.07602231434566753</v>
      </c>
      <c r="M49" s="303"/>
      <c r="N49" s="7"/>
    </row>
    <row r="50" spans="1:14" ht="13.5" customHeight="1">
      <c r="A50" s="308">
        <v>46</v>
      </c>
      <c r="B50" s="308"/>
      <c r="C50" s="298" t="s">
        <v>7</v>
      </c>
      <c r="D50" s="304" t="s">
        <v>58</v>
      </c>
      <c r="E50" s="303">
        <f>'3.2 Efnah.'!AU57</f>
        <v>88536</v>
      </c>
      <c r="F50" s="7"/>
      <c r="G50" s="303">
        <f>+'3.1 Yfirlit '!AU64</f>
        <v>97769.565</v>
      </c>
      <c r="H50" s="7"/>
      <c r="I50" s="40">
        <f t="shared" si="1"/>
        <v>-0.09444212010148556</v>
      </c>
      <c r="M50" s="303"/>
      <c r="N50" s="7"/>
    </row>
    <row r="51" spans="1:14" ht="13.5" customHeight="1">
      <c r="A51" s="308">
        <v>47</v>
      </c>
      <c r="B51" s="308"/>
      <c r="C51" s="298" t="s">
        <v>28</v>
      </c>
      <c r="D51" s="304" t="s">
        <v>54</v>
      </c>
      <c r="E51" s="303">
        <f>'3.2 Efnah.'!AV57</f>
        <v>7967</v>
      </c>
      <c r="F51" s="7"/>
      <c r="G51" s="303">
        <f>+'3.1 Yfirlit '!AV64</f>
        <v>8343</v>
      </c>
      <c r="H51" s="7"/>
      <c r="I51" s="40">
        <f>(E51/G51)-1</f>
        <v>-0.045067721443125985</v>
      </c>
      <c r="M51" s="303"/>
      <c r="N51" s="7"/>
    </row>
    <row r="52" spans="1:14" ht="13.5" customHeight="1">
      <c r="A52" s="308">
        <v>48</v>
      </c>
      <c r="B52" s="308"/>
      <c r="C52" s="298" t="s">
        <v>29</v>
      </c>
      <c r="D52" s="304" t="s">
        <v>52</v>
      </c>
      <c r="E52" s="305">
        <f>'3.2 Efnah.'!AW57</f>
        <v>-16387</v>
      </c>
      <c r="F52" s="306"/>
      <c r="G52" s="305">
        <f>+'3.1 Yfirlit '!AW64</f>
        <v>13904</v>
      </c>
      <c r="H52" s="306"/>
      <c r="I52" s="40">
        <f t="shared" si="1"/>
        <v>-2.1785817031070196</v>
      </c>
      <c r="M52" s="303"/>
      <c r="N52" s="7"/>
    </row>
    <row r="53" spans="1:13" ht="15.75" customHeight="1">
      <c r="A53" s="298"/>
      <c r="B53" s="308"/>
      <c r="C53" s="310" t="s">
        <v>59</v>
      </c>
      <c r="E53" s="303">
        <f>SUM(E5:E52)</f>
        <v>986534746.0556577</v>
      </c>
      <c r="F53" s="303"/>
      <c r="G53" s="303">
        <f>SUM(G5:G52)</f>
        <v>821313548.3104999</v>
      </c>
      <c r="H53" s="7"/>
      <c r="I53" s="40">
        <f t="shared" si="1"/>
        <v>0.20116701847306606</v>
      </c>
      <c r="M53" s="303"/>
    </row>
    <row r="54" ht="4.5" customHeight="1"/>
    <row r="55" ht="12.75">
      <c r="C55" s="312" t="s">
        <v>55</v>
      </c>
    </row>
    <row r="56" spans="3:12" ht="12.75" customHeight="1">
      <c r="C56" s="313" t="s">
        <v>56</v>
      </c>
      <c r="I56" s="314"/>
      <c r="L56" s="314"/>
    </row>
    <row r="57" spans="3:9" ht="12.75" customHeight="1">
      <c r="C57" s="313" t="s">
        <v>527</v>
      </c>
      <c r="I57" s="314"/>
    </row>
    <row r="58" spans="3:9" ht="12.75" customHeight="1">
      <c r="C58" s="313" t="s">
        <v>502</v>
      </c>
      <c r="I58" s="314"/>
    </row>
    <row r="59" ht="12.75">
      <c r="C59" s="313" t="s">
        <v>503</v>
      </c>
    </row>
    <row r="60" ht="12.75">
      <c r="E60" s="315"/>
    </row>
  </sheetData>
  <sheetProtection/>
  <printOptions/>
  <pageMargins left="0.4330708661417323" right="0.31496062992125984" top="0.55" bottom="0" header="0.25" footer="0.17"/>
  <pageSetup firstPageNumber="8" useFirstPageNumber="1" horizontalDpi="600" verticalDpi="600" orientation="portrait" paperSize="9" r:id="rId1"/>
  <headerFooter alignWithMargins="0">
    <oddHeader>&amp;C&amp;"Times New Roman,Bold"&amp;14 2.2. YFIRLIT YFIR LÍFEYRISSJÓÐI Í STÆRÐARRÖÐ 31.12.2004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7109375" style="11" customWidth="1"/>
    <col min="2" max="2" width="2.28125" style="11" customWidth="1"/>
    <col min="3" max="3" width="38.8515625" style="11" bestFit="1" customWidth="1"/>
    <col min="4" max="4" width="10.57421875" style="11" customWidth="1"/>
    <col min="5" max="8" width="10.421875" style="11" customWidth="1"/>
    <col min="9" max="9" width="9.140625" style="11" customWidth="1"/>
    <col min="10" max="10" width="12.421875" style="11" bestFit="1" customWidth="1"/>
    <col min="11" max="16384" width="9.140625" style="11" customWidth="1"/>
  </cols>
  <sheetData>
    <row r="1" spans="5:8" ht="12" customHeight="1">
      <c r="E1" s="357" t="s">
        <v>444</v>
      </c>
      <c r="F1" s="357"/>
      <c r="G1" s="357"/>
      <c r="H1" s="316" t="s">
        <v>65</v>
      </c>
    </row>
    <row r="2" spans="1:7" ht="12" customHeight="1">
      <c r="A2" s="308"/>
      <c r="B2" s="308"/>
      <c r="C2" s="309"/>
      <c r="D2" s="319" t="s">
        <v>47</v>
      </c>
      <c r="E2" s="316" t="s">
        <v>63</v>
      </c>
      <c r="F2" s="316" t="s">
        <v>60</v>
      </c>
      <c r="G2" s="316" t="s">
        <v>61</v>
      </c>
    </row>
    <row r="3" spans="1:8" ht="12.75">
      <c r="A3" s="308"/>
      <c r="B3" s="308"/>
      <c r="C3" s="309" t="s">
        <v>62</v>
      </c>
      <c r="D3" s="316" t="s">
        <v>524</v>
      </c>
      <c r="E3" s="320"/>
      <c r="F3" s="316" t="s">
        <v>64</v>
      </c>
      <c r="G3" s="316" t="s">
        <v>64</v>
      </c>
      <c r="H3" s="320"/>
    </row>
    <row r="4" spans="1:8" ht="5.25" customHeight="1">
      <c r="A4" s="308"/>
      <c r="B4" s="308"/>
      <c r="C4" s="309"/>
      <c r="D4" s="303"/>
      <c r="E4" s="303"/>
      <c r="F4" s="303"/>
      <c r="G4" s="303"/>
      <c r="H4" s="303"/>
    </row>
    <row r="5" spans="1:8" s="159" customFormat="1" ht="12" customHeight="1">
      <c r="A5" s="308">
        <v>1</v>
      </c>
      <c r="B5" s="308"/>
      <c r="C5" s="309" t="s">
        <v>31</v>
      </c>
      <c r="D5" s="16">
        <f>SUM(E5:H5)</f>
        <v>179861123.1</v>
      </c>
      <c r="E5" s="16">
        <f>+'4.1. Samtryggingard.'!C65</f>
        <v>48484650.2</v>
      </c>
      <c r="F5" s="16">
        <f>+'4.1. Samtryggingard.'!B65</f>
        <v>128105354</v>
      </c>
      <c r="G5" s="16"/>
      <c r="H5" s="16">
        <f>+'5.1. Séreignard.'!B121+'5.1. Séreignard.'!C121+'5.1. Séreignard.'!D121</f>
        <v>3271118.9</v>
      </c>
    </row>
    <row r="6" spans="1:8" s="159" customFormat="1" ht="12" customHeight="1">
      <c r="A6" s="308">
        <v>2</v>
      </c>
      <c r="B6" s="308"/>
      <c r="C6" s="309" t="s">
        <v>37</v>
      </c>
      <c r="D6" s="16">
        <f aca="true" t="shared" si="0" ref="D6:D52">SUM(E6:H6)</f>
        <v>150701842</v>
      </c>
      <c r="E6" s="16">
        <f>+'4.1. Samtryggingard.'!D65</f>
        <v>147738095</v>
      </c>
      <c r="F6" s="16"/>
      <c r="G6" s="16"/>
      <c r="H6" s="16">
        <f>+'5.1. Séreignard.'!E121</f>
        <v>2963747</v>
      </c>
    </row>
    <row r="7" spans="1:8" s="159" customFormat="1" ht="12" customHeight="1">
      <c r="A7" s="308">
        <v>3</v>
      </c>
      <c r="B7" s="308"/>
      <c r="C7" s="309" t="s">
        <v>41</v>
      </c>
      <c r="D7" s="16">
        <f t="shared" si="0"/>
        <v>77326398.213</v>
      </c>
      <c r="E7" s="16">
        <f>+'4.1. Samtryggingard.'!E65</f>
        <v>76271790.213</v>
      </c>
      <c r="F7" s="16"/>
      <c r="G7" s="16"/>
      <c r="H7" s="16">
        <f>+'5.1. Séreignard.'!F121+'5.1. Séreignard.'!G121</f>
        <v>1054608</v>
      </c>
    </row>
    <row r="8" spans="1:10" s="159" customFormat="1" ht="12" customHeight="1">
      <c r="A8" s="308">
        <v>4</v>
      </c>
      <c r="B8" s="308"/>
      <c r="C8" s="309" t="s">
        <v>25</v>
      </c>
      <c r="D8" s="16">
        <f t="shared" si="0"/>
        <v>68451595</v>
      </c>
      <c r="E8" s="16">
        <f>+'4.1. Samtryggingard.'!F65</f>
        <v>68259866</v>
      </c>
      <c r="F8" s="16"/>
      <c r="G8" s="16"/>
      <c r="H8" s="16">
        <f>+'5.1. Séreignard.'!H121+'5.1. Séreignard.'!I121+'5.1. Séreignard.'!J121</f>
        <v>191729</v>
      </c>
      <c r="J8" s="158"/>
    </row>
    <row r="9" spans="1:8" s="159" customFormat="1" ht="12" customHeight="1">
      <c r="A9" s="308">
        <v>5</v>
      </c>
      <c r="B9" s="308"/>
      <c r="C9" s="309" t="s">
        <v>44</v>
      </c>
      <c r="D9" s="16">
        <f t="shared" si="0"/>
        <v>59778385</v>
      </c>
      <c r="E9" s="16">
        <f>+'4.1. Samtryggingard.'!G65</f>
        <v>56600608</v>
      </c>
      <c r="F9" s="16"/>
      <c r="G9" s="16">
        <f>+'4.1. Samtryggingard.'!H65</f>
        <v>1540224</v>
      </c>
      <c r="H9" s="16">
        <f>+'5.1. Séreignard.'!K121+'5.1. Séreignard.'!L121</f>
        <v>1637553</v>
      </c>
    </row>
    <row r="10" spans="1:8" s="159" customFormat="1" ht="12" customHeight="1">
      <c r="A10" s="308">
        <v>6</v>
      </c>
      <c r="B10" s="308"/>
      <c r="C10" s="309" t="s">
        <v>23</v>
      </c>
      <c r="D10" s="16">
        <f t="shared" si="0"/>
        <v>39167662</v>
      </c>
      <c r="E10" s="16">
        <f>+'4.1. Samtryggingard.'!I65</f>
        <v>37983696</v>
      </c>
      <c r="F10" s="16"/>
      <c r="G10" s="16"/>
      <c r="H10" s="16">
        <f>+'5.1. Séreignard.'!M121+'5.1. Séreignard.'!N121</f>
        <v>1183966</v>
      </c>
    </row>
    <row r="11" spans="1:8" s="159" customFormat="1" ht="12" customHeight="1">
      <c r="A11" s="308">
        <v>7</v>
      </c>
      <c r="B11" s="308"/>
      <c r="C11" s="309" t="s">
        <v>9</v>
      </c>
      <c r="D11" s="16">
        <f t="shared" si="0"/>
        <v>35658116</v>
      </c>
      <c r="E11" s="16"/>
      <c r="F11" s="16"/>
      <c r="G11" s="16">
        <f>+'4.1. Samtryggingard.'!J65</f>
        <v>5101973</v>
      </c>
      <c r="H11" s="16">
        <f>+'5.1. Séreignard.'!O121+'5.1. Séreignard.'!P121+'5.1. Séreignard.'!Q121</f>
        <v>30556143</v>
      </c>
    </row>
    <row r="12" spans="1:8" s="159" customFormat="1" ht="12" customHeight="1">
      <c r="A12" s="308">
        <v>8</v>
      </c>
      <c r="B12" s="308"/>
      <c r="C12" s="309" t="s">
        <v>46</v>
      </c>
      <c r="D12" s="16">
        <f t="shared" si="0"/>
        <v>33790004</v>
      </c>
      <c r="E12" s="16">
        <f>+'4.1. Samtryggingard.'!K65</f>
        <v>33591864</v>
      </c>
      <c r="F12" s="16"/>
      <c r="G12" s="16"/>
      <c r="H12" s="16">
        <f>+'5.1. Séreignard.'!R121</f>
        <v>198140</v>
      </c>
    </row>
    <row r="13" spans="1:8" s="159" customFormat="1" ht="12" customHeight="1">
      <c r="A13" s="308">
        <v>9</v>
      </c>
      <c r="B13" s="308"/>
      <c r="C13" s="309" t="s">
        <v>468</v>
      </c>
      <c r="D13" s="16">
        <f t="shared" si="0"/>
        <v>33106690.90165787</v>
      </c>
      <c r="E13" s="16"/>
      <c r="F13" s="16"/>
      <c r="G13" s="16">
        <f>+'4.1. Samtryggingard.'!L65</f>
        <v>6640541</v>
      </c>
      <c r="H13" s="16">
        <f>+'5.1. Séreignard.'!S121+'5.1. Séreignard.'!T121+'5.1. Séreignard.'!U121+'5.1. Séreignard.'!V121</f>
        <v>26466149.90165787</v>
      </c>
    </row>
    <row r="14" spans="1:8" s="159" customFormat="1" ht="12" customHeight="1">
      <c r="A14" s="308">
        <v>10</v>
      </c>
      <c r="B14" s="308"/>
      <c r="C14" s="309" t="s">
        <v>42</v>
      </c>
      <c r="D14" s="16">
        <f t="shared" si="0"/>
        <v>27249424</v>
      </c>
      <c r="E14" s="16"/>
      <c r="F14" s="16"/>
      <c r="G14" s="16">
        <f>+'4.1. Samtryggingard.'!M65</f>
        <v>26679914</v>
      </c>
      <c r="H14" s="16">
        <f>+'5.1. Séreignard.'!W121+'5.1. Séreignard.'!X121</f>
        <v>569510</v>
      </c>
    </row>
    <row r="15" spans="1:8" s="159" customFormat="1" ht="12" customHeight="1">
      <c r="A15" s="308">
        <v>11</v>
      </c>
      <c r="B15" s="308"/>
      <c r="C15" s="309" t="s">
        <v>14</v>
      </c>
      <c r="D15" s="16">
        <f t="shared" si="0"/>
        <v>25567811</v>
      </c>
      <c r="E15" s="16">
        <f>+'4.1. Samtryggingard.'!O65</f>
        <v>5860949</v>
      </c>
      <c r="F15" s="16">
        <f>+'4.1. Samtryggingard.'!N65</f>
        <v>19706862</v>
      </c>
      <c r="G15" s="16"/>
      <c r="H15" s="16"/>
    </row>
    <row r="16" spans="1:8" s="159" customFormat="1" ht="12" customHeight="1">
      <c r="A16" s="308">
        <v>12</v>
      </c>
      <c r="B16" s="308"/>
      <c r="C16" s="309" t="s">
        <v>45</v>
      </c>
      <c r="D16" s="16">
        <f t="shared" si="0"/>
        <v>24282104</v>
      </c>
      <c r="E16" s="16">
        <f>+'4.1. Samtryggingard.'!P65</f>
        <v>20791676</v>
      </c>
      <c r="F16" s="16"/>
      <c r="G16" s="16">
        <f>+'4.1. Samtryggingard.'!Q65</f>
        <v>2167219</v>
      </c>
      <c r="H16" s="16">
        <f>+'5.1. Séreignard.'!Y121</f>
        <v>1323209</v>
      </c>
    </row>
    <row r="17" spans="1:8" s="159" customFormat="1" ht="12" customHeight="1">
      <c r="A17" s="308">
        <v>13</v>
      </c>
      <c r="B17" s="308"/>
      <c r="C17" s="309" t="s">
        <v>20</v>
      </c>
      <c r="D17" s="16">
        <f t="shared" si="0"/>
        <v>18624665.8</v>
      </c>
      <c r="E17" s="16"/>
      <c r="F17" s="16"/>
      <c r="G17" s="16">
        <f>+'4.1. Samtryggingard.'!R65</f>
        <v>18624665.8</v>
      </c>
      <c r="H17" s="16"/>
    </row>
    <row r="18" spans="1:8" s="159" customFormat="1" ht="12" customHeight="1">
      <c r="A18" s="308">
        <v>14</v>
      </c>
      <c r="B18" s="308"/>
      <c r="C18" s="309" t="s">
        <v>13</v>
      </c>
      <c r="D18" s="16">
        <f>SUM(E18:H18)</f>
        <v>18355920</v>
      </c>
      <c r="E18" s="16">
        <f>+'4.1. Samtryggingard.'!S65</f>
        <v>18295229</v>
      </c>
      <c r="F18" s="16"/>
      <c r="H18" s="16">
        <f>+'5.1. Séreignard.'!Z121</f>
        <v>60691</v>
      </c>
    </row>
    <row r="19" spans="1:8" s="159" customFormat="1" ht="12" customHeight="1">
      <c r="A19" s="308">
        <v>15</v>
      </c>
      <c r="B19" s="308"/>
      <c r="C19" s="309" t="s">
        <v>38</v>
      </c>
      <c r="D19" s="16">
        <f t="shared" si="0"/>
        <v>17850447.301999997</v>
      </c>
      <c r="E19" s="16">
        <f>+'4.1. Samtryggingard.'!T65</f>
        <v>17666338.286</v>
      </c>
      <c r="F19" s="16"/>
      <c r="G19" s="16"/>
      <c r="H19" s="16">
        <f>+'5.1. Séreignard.'!AA121</f>
        <v>184109.016</v>
      </c>
    </row>
    <row r="20" spans="1:8" s="159" customFormat="1" ht="12" customHeight="1">
      <c r="A20" s="308">
        <v>16</v>
      </c>
      <c r="B20" s="308"/>
      <c r="C20" s="309" t="s">
        <v>36</v>
      </c>
      <c r="D20" s="16">
        <f t="shared" si="0"/>
        <v>17595850</v>
      </c>
      <c r="E20" s="16"/>
      <c r="F20" s="16"/>
      <c r="G20" s="16">
        <f>+'4.1. Samtryggingard.'!U65</f>
        <v>16804069</v>
      </c>
      <c r="H20" s="16">
        <f>+'5.1. Séreignard.'!AB121</f>
        <v>791781</v>
      </c>
    </row>
    <row r="21" spans="1:8" s="159" customFormat="1" ht="12" customHeight="1">
      <c r="A21" s="308">
        <v>17</v>
      </c>
      <c r="B21" s="308"/>
      <c r="C21" s="309" t="s">
        <v>19</v>
      </c>
      <c r="D21" s="16">
        <f t="shared" si="0"/>
        <v>15519891</v>
      </c>
      <c r="E21" s="16"/>
      <c r="F21" s="16">
        <f>+'4.1. Samtryggingard.'!V65</f>
        <v>15519891</v>
      </c>
      <c r="G21" s="16"/>
      <c r="H21" s="16"/>
    </row>
    <row r="22" spans="1:8" s="159" customFormat="1" ht="12" customHeight="1">
      <c r="A22" s="308">
        <v>18</v>
      </c>
      <c r="B22" s="308"/>
      <c r="C22" s="309" t="s">
        <v>34</v>
      </c>
      <c r="D22" s="16">
        <f t="shared" si="0"/>
        <v>15433319</v>
      </c>
      <c r="E22" s="16">
        <f>+'4.1. Samtryggingard.'!W65</f>
        <v>15433319</v>
      </c>
      <c r="F22" s="16"/>
      <c r="G22" s="16"/>
      <c r="H22" s="16"/>
    </row>
    <row r="23" spans="1:10" s="159" customFormat="1" ht="12" customHeight="1">
      <c r="A23" s="308">
        <v>19</v>
      </c>
      <c r="B23" s="308"/>
      <c r="C23" s="309" t="s">
        <v>39</v>
      </c>
      <c r="D23" s="16">
        <f t="shared" si="0"/>
        <v>15062065</v>
      </c>
      <c r="E23" s="16">
        <f>+'4.1. Samtryggingard.'!X65</f>
        <v>14968808</v>
      </c>
      <c r="F23" s="16"/>
      <c r="G23" s="16"/>
      <c r="H23" s="16">
        <f>+'5.1. Séreignard.'!AC121+'5.1. Séreignard.'!AD121</f>
        <v>93257</v>
      </c>
      <c r="J23" s="16"/>
    </row>
    <row r="24" spans="1:8" s="159" customFormat="1" ht="12" customHeight="1">
      <c r="A24" s="308">
        <v>20</v>
      </c>
      <c r="B24" s="308"/>
      <c r="C24" s="309" t="s">
        <v>16</v>
      </c>
      <c r="D24" s="16">
        <f t="shared" si="0"/>
        <v>13894194</v>
      </c>
      <c r="E24" s="16">
        <f>+'4.1. Samtryggingard.'!Y65</f>
        <v>13894194</v>
      </c>
      <c r="F24" s="16"/>
      <c r="G24" s="16"/>
      <c r="H24" s="16"/>
    </row>
    <row r="25" spans="1:8" s="159" customFormat="1" ht="12" customHeight="1">
      <c r="A25" s="308">
        <v>21</v>
      </c>
      <c r="B25" s="308"/>
      <c r="C25" s="298" t="s">
        <v>32</v>
      </c>
      <c r="D25" s="16">
        <f t="shared" si="0"/>
        <v>12382184.716</v>
      </c>
      <c r="E25" s="16">
        <f>+'4.1. Samtryggingard.'!Z65</f>
        <v>11152721.716</v>
      </c>
      <c r="F25" s="16"/>
      <c r="G25" s="16">
        <f>+'4.1. Samtryggingard.'!AA65</f>
        <v>845614.635</v>
      </c>
      <c r="H25" s="16">
        <f>+'5.1. Séreignard.'!AE121+'5.1. Séreignard.'!AF121+'5.1. Séreignard.'!AG121</f>
        <v>383848.36499999993</v>
      </c>
    </row>
    <row r="26" spans="1:8" s="159" customFormat="1" ht="12" customHeight="1">
      <c r="A26" s="308">
        <v>22</v>
      </c>
      <c r="B26" s="308"/>
      <c r="C26" s="309" t="s">
        <v>40</v>
      </c>
      <c r="D26" s="16">
        <f t="shared" si="0"/>
        <v>11295059</v>
      </c>
      <c r="E26" s="16">
        <f>+'4.1. Samtryggingard.'!AB65</f>
        <v>11231121</v>
      </c>
      <c r="F26" s="16"/>
      <c r="G26" s="16"/>
      <c r="H26" s="16">
        <f>+'5.1. Séreignard.'!AH121</f>
        <v>63938</v>
      </c>
    </row>
    <row r="27" spans="1:8" s="159" customFormat="1" ht="12" customHeight="1">
      <c r="A27" s="308">
        <v>23</v>
      </c>
      <c r="B27" s="308"/>
      <c r="C27" s="309" t="s">
        <v>30</v>
      </c>
      <c r="D27" s="16">
        <f t="shared" si="0"/>
        <v>10959236.902999999</v>
      </c>
      <c r="E27" s="16"/>
      <c r="F27" s="16">
        <f>+'4.1. Samtryggingard.'!AC65</f>
        <v>10959236.902999999</v>
      </c>
      <c r="G27" s="16"/>
      <c r="H27" s="16"/>
    </row>
    <row r="28" spans="1:8" s="159" customFormat="1" ht="12" customHeight="1">
      <c r="A28" s="308">
        <v>24</v>
      </c>
      <c r="B28" s="308"/>
      <c r="C28" s="309" t="s">
        <v>10</v>
      </c>
      <c r="D28" s="16">
        <f t="shared" si="0"/>
        <v>10352122.677</v>
      </c>
      <c r="E28" s="16"/>
      <c r="F28" s="16"/>
      <c r="G28" s="16">
        <f>+'4.1. Samtryggingard.'!AD65</f>
        <v>1055047.308</v>
      </c>
      <c r="H28" s="16">
        <f>+'5.1. Séreignard.'!AI121+'5.1. Séreignard.'!AJ121+'5.1. Séreignard.'!AK121+'5.1. Séreignard.'!AL121</f>
        <v>9297075.368999999</v>
      </c>
    </row>
    <row r="29" spans="1:10" s="159" customFormat="1" ht="12" customHeight="1">
      <c r="A29" s="308">
        <v>25</v>
      </c>
      <c r="B29" s="308"/>
      <c r="C29" s="309" t="s">
        <v>4</v>
      </c>
      <c r="D29" s="16">
        <f t="shared" si="0"/>
        <v>10193237</v>
      </c>
      <c r="E29" s="16">
        <f>+'4.1. Samtryggingard.'!AE65</f>
        <v>10193237</v>
      </c>
      <c r="F29" s="16"/>
      <c r="G29" s="16"/>
      <c r="H29" s="16"/>
      <c r="J29" s="16"/>
    </row>
    <row r="30" spans="1:8" s="159" customFormat="1" ht="12" customHeight="1">
      <c r="A30" s="308">
        <v>26</v>
      </c>
      <c r="B30" s="308"/>
      <c r="C30" s="309" t="s">
        <v>27</v>
      </c>
      <c r="D30" s="16">
        <f t="shared" si="0"/>
        <v>9071163.296</v>
      </c>
      <c r="E30" s="16"/>
      <c r="F30" s="16">
        <f>+'4.1. Samtryggingard.'!AF65</f>
        <v>9071163.296</v>
      </c>
      <c r="G30" s="16"/>
      <c r="H30" s="16"/>
    </row>
    <row r="31" spans="1:8" s="159" customFormat="1" ht="12" customHeight="1">
      <c r="A31" s="308">
        <v>27</v>
      </c>
      <c r="B31" s="308"/>
      <c r="C31" s="309" t="s">
        <v>33</v>
      </c>
      <c r="D31" s="16">
        <f t="shared" si="0"/>
        <v>7326024</v>
      </c>
      <c r="E31" s="16">
        <f>+'4.1. Samtryggingard.'!AG65</f>
        <v>7326024</v>
      </c>
      <c r="F31" s="16"/>
      <c r="G31" s="16"/>
      <c r="H31" s="16"/>
    </row>
    <row r="32" spans="1:8" s="159" customFormat="1" ht="12" customHeight="1">
      <c r="A32" s="308">
        <v>28</v>
      </c>
      <c r="B32" s="308"/>
      <c r="C32" s="309" t="s">
        <v>3</v>
      </c>
      <c r="D32" s="16">
        <f t="shared" si="0"/>
        <v>4096093</v>
      </c>
      <c r="E32" s="16"/>
      <c r="F32" s="16">
        <f>+'4.1. Samtryggingard.'!AH65</f>
        <v>4096093</v>
      </c>
      <c r="G32" s="16"/>
      <c r="H32" s="16"/>
    </row>
    <row r="33" spans="1:8" s="159" customFormat="1" ht="12" customHeight="1">
      <c r="A33" s="308">
        <v>29</v>
      </c>
      <c r="B33" s="308"/>
      <c r="C33" s="309" t="s">
        <v>17</v>
      </c>
      <c r="D33" s="16">
        <f t="shared" si="0"/>
        <v>3119405</v>
      </c>
      <c r="E33" s="16">
        <f>+'4.1. Samtryggingard.'!AI65+'4.1. Samtryggingard.'!AJ65</f>
        <v>3119405</v>
      </c>
      <c r="F33" s="16"/>
      <c r="G33" s="16"/>
      <c r="H33" s="16"/>
    </row>
    <row r="34" spans="1:8" s="159" customFormat="1" ht="12" customHeight="1">
      <c r="A34" s="308">
        <v>30</v>
      </c>
      <c r="B34" s="308"/>
      <c r="C34" s="309" t="s">
        <v>24</v>
      </c>
      <c r="D34" s="16">
        <f t="shared" si="0"/>
        <v>2973577</v>
      </c>
      <c r="E34" s="16">
        <f>+'4.1. Samtryggingard.'!AK65</f>
        <v>2960016</v>
      </c>
      <c r="F34" s="16"/>
      <c r="G34" s="16"/>
      <c r="H34" s="16">
        <f>+'5.1. Séreignard.'!AM121</f>
        <v>13561</v>
      </c>
    </row>
    <row r="35" spans="1:8" s="159" customFormat="1" ht="12" customHeight="1">
      <c r="A35" s="308">
        <v>31</v>
      </c>
      <c r="B35" s="308"/>
      <c r="C35" s="309" t="s">
        <v>15</v>
      </c>
      <c r="D35" s="16">
        <f t="shared" si="0"/>
        <v>2542380</v>
      </c>
      <c r="E35" s="16">
        <f>+'4.1. Samtryggingard.'!AL65</f>
        <v>2542380</v>
      </c>
      <c r="F35" s="16"/>
      <c r="G35" s="16"/>
      <c r="H35" s="16"/>
    </row>
    <row r="36" spans="1:8" s="159" customFormat="1" ht="12" customHeight="1">
      <c r="A36" s="308">
        <v>32</v>
      </c>
      <c r="B36" s="308"/>
      <c r="C36" s="309" t="s">
        <v>18</v>
      </c>
      <c r="D36" s="16">
        <f t="shared" si="0"/>
        <v>2418684</v>
      </c>
      <c r="E36" s="16">
        <f>+'4.1. Samtryggingard.'!AM65</f>
        <v>2418684</v>
      </c>
      <c r="F36" s="16"/>
      <c r="G36" s="16"/>
      <c r="H36" s="16"/>
    </row>
    <row r="37" spans="1:8" s="159" customFormat="1" ht="12" customHeight="1">
      <c r="A37" s="308">
        <v>33</v>
      </c>
      <c r="B37" s="308"/>
      <c r="C37" s="298" t="s">
        <v>35</v>
      </c>
      <c r="D37" s="16">
        <f t="shared" si="0"/>
        <v>1842771</v>
      </c>
      <c r="E37" s="16"/>
      <c r="F37" s="16"/>
      <c r="G37" s="16">
        <f>+'4.1. Samtryggingard.'!AN65</f>
        <v>185941</v>
      </c>
      <c r="H37" s="16">
        <f>+'5.1. Séreignard.'!AN121</f>
        <v>1656830</v>
      </c>
    </row>
    <row r="38" spans="1:8" s="159" customFormat="1" ht="12" customHeight="1">
      <c r="A38" s="308">
        <v>34</v>
      </c>
      <c r="B38" s="308"/>
      <c r="C38" s="309" t="s">
        <v>373</v>
      </c>
      <c r="D38" s="16">
        <f t="shared" si="0"/>
        <v>1747773</v>
      </c>
      <c r="E38" s="16"/>
      <c r="F38" s="16">
        <f>+'4.1. Samtryggingard.'!AO65</f>
        <v>1747773</v>
      </c>
      <c r="G38" s="16"/>
      <c r="H38" s="16"/>
    </row>
    <row r="39" spans="1:8" s="159" customFormat="1" ht="12" customHeight="1">
      <c r="A39" s="308">
        <v>35</v>
      </c>
      <c r="B39" s="308"/>
      <c r="C39" s="298" t="s">
        <v>2</v>
      </c>
      <c r="D39" s="16">
        <f t="shared" si="0"/>
        <v>1625459.7769999998</v>
      </c>
      <c r="E39" s="16"/>
      <c r="F39" s="16">
        <f>+'4.1. Samtryggingard.'!AP65</f>
        <v>1625459.7769999998</v>
      </c>
      <c r="G39" s="16"/>
      <c r="H39" s="16"/>
    </row>
    <row r="40" spans="1:8" s="159" customFormat="1" ht="12" customHeight="1">
      <c r="A40" s="308">
        <v>36</v>
      </c>
      <c r="B40" s="308"/>
      <c r="C40" s="298" t="s">
        <v>21</v>
      </c>
      <c r="D40" s="16">
        <f t="shared" si="0"/>
        <v>1480328</v>
      </c>
      <c r="E40" s="16">
        <f>+'4.1. Samtryggingard.'!AQ65</f>
        <v>1480328</v>
      </c>
      <c r="F40" s="16"/>
      <c r="G40" s="16"/>
      <c r="H40" s="16"/>
    </row>
    <row r="41" spans="1:8" s="159" customFormat="1" ht="12" customHeight="1">
      <c r="A41" s="308">
        <v>37</v>
      </c>
      <c r="B41" s="308"/>
      <c r="C41" s="298" t="s">
        <v>26</v>
      </c>
      <c r="D41" s="16">
        <f t="shared" si="0"/>
        <v>1306001</v>
      </c>
      <c r="E41" s="16"/>
      <c r="F41" s="16">
        <f>+'4.1. Samtryggingard.'!AR65</f>
        <v>1306001</v>
      </c>
      <c r="G41" s="16"/>
      <c r="H41" s="16"/>
    </row>
    <row r="42" spans="1:8" s="159" customFormat="1" ht="12" customHeight="1">
      <c r="A42" s="308">
        <v>38</v>
      </c>
      <c r="B42" s="308"/>
      <c r="C42" s="298" t="s">
        <v>12</v>
      </c>
      <c r="D42" s="16">
        <f t="shared" si="0"/>
        <v>946454</v>
      </c>
      <c r="E42" s="16"/>
      <c r="F42" s="16">
        <f>+'4.1. Samtryggingard.'!AS65</f>
        <v>946454</v>
      </c>
      <c r="G42" s="16"/>
      <c r="H42" s="16"/>
    </row>
    <row r="43" spans="1:8" s="159" customFormat="1" ht="12" customHeight="1">
      <c r="A43" s="308">
        <v>39</v>
      </c>
      <c r="B43" s="308"/>
      <c r="C43" s="298" t="s">
        <v>8</v>
      </c>
      <c r="D43" s="16">
        <f t="shared" si="0"/>
        <v>702482.37</v>
      </c>
      <c r="E43" s="16">
        <f>+'4.1. Samtryggingard.'!AT65</f>
        <v>702482.37</v>
      </c>
      <c r="F43" s="16"/>
      <c r="G43" s="16"/>
      <c r="H43" s="16"/>
    </row>
    <row r="44" spans="1:8" s="159" customFormat="1" ht="12" customHeight="1">
      <c r="A44" s="308">
        <v>40</v>
      </c>
      <c r="B44" s="308"/>
      <c r="C44" s="298" t="s">
        <v>6</v>
      </c>
      <c r="D44" s="16">
        <f t="shared" si="0"/>
        <v>613987.658</v>
      </c>
      <c r="E44" s="16">
        <f>+'4.1. Samtryggingard.'!AU65</f>
        <v>613987.658</v>
      </c>
      <c r="F44" s="16"/>
      <c r="G44" s="16"/>
      <c r="H44" s="16"/>
    </row>
    <row r="45" spans="1:8" s="159" customFormat="1" ht="12" customHeight="1">
      <c r="A45" s="308">
        <v>41</v>
      </c>
      <c r="B45" s="308"/>
      <c r="C45" s="298" t="s">
        <v>5</v>
      </c>
      <c r="D45" s="16">
        <f t="shared" si="0"/>
        <v>608528</v>
      </c>
      <c r="E45" s="16"/>
      <c r="F45" s="16">
        <f>+'4.1. Samtryggingard.'!AV65</f>
        <v>608528</v>
      </c>
      <c r="G45" s="16"/>
      <c r="H45" s="16"/>
    </row>
    <row r="46" spans="1:8" s="159" customFormat="1" ht="12" customHeight="1">
      <c r="A46" s="308">
        <v>42</v>
      </c>
      <c r="B46" s="308"/>
      <c r="C46" s="298" t="s">
        <v>11</v>
      </c>
      <c r="D46" s="16">
        <f t="shared" si="0"/>
        <v>505608</v>
      </c>
      <c r="E46" s="16">
        <f>+'4.1. Samtryggingard.'!AW65</f>
        <v>505608</v>
      </c>
      <c r="F46" s="16"/>
      <c r="G46" s="16"/>
      <c r="H46" s="16"/>
    </row>
    <row r="47" spans="1:8" s="159" customFormat="1" ht="12" customHeight="1">
      <c r="A47" s="308">
        <v>43</v>
      </c>
      <c r="B47" s="308"/>
      <c r="C47" s="298" t="s">
        <v>43</v>
      </c>
      <c r="D47" s="16">
        <f t="shared" si="0"/>
        <v>458796</v>
      </c>
      <c r="E47" s="16">
        <f>+'4.1. Samtryggingard.'!AX65</f>
        <v>458796</v>
      </c>
      <c r="F47" s="16"/>
      <c r="G47" s="16"/>
      <c r="H47" s="16"/>
    </row>
    <row r="48" spans="1:8" s="159" customFormat="1" ht="12" customHeight="1">
      <c r="A48" s="308">
        <v>44</v>
      </c>
      <c r="B48" s="308"/>
      <c r="C48" s="298" t="s">
        <v>506</v>
      </c>
      <c r="D48" s="16">
        <f t="shared" si="0"/>
        <v>399523.58999999997</v>
      </c>
      <c r="E48" s="16"/>
      <c r="F48" s="16">
        <f>+'4.1. Samtryggingard.'!AY65</f>
        <v>399523.58999999997</v>
      </c>
      <c r="G48" s="16"/>
      <c r="H48" s="16"/>
    </row>
    <row r="49" spans="1:8" s="159" customFormat="1" ht="12" customHeight="1">
      <c r="A49" s="308">
        <v>45</v>
      </c>
      <c r="B49" s="308"/>
      <c r="C49" s="298" t="s">
        <v>22</v>
      </c>
      <c r="D49" s="16">
        <f t="shared" si="0"/>
        <v>210244</v>
      </c>
      <c r="E49" s="16"/>
      <c r="F49" s="16">
        <f>+'4.1. Samtryggingard.'!AZ65</f>
        <v>210244</v>
      </c>
      <c r="G49" s="16"/>
      <c r="H49" s="16"/>
    </row>
    <row r="50" spans="1:8" s="159" customFormat="1" ht="12" customHeight="1">
      <c r="A50" s="308">
        <v>46</v>
      </c>
      <c r="B50" s="308"/>
      <c r="C50" s="298" t="s">
        <v>7</v>
      </c>
      <c r="D50" s="16">
        <f t="shared" si="0"/>
        <v>88535.565</v>
      </c>
      <c r="E50" s="16"/>
      <c r="F50" s="16">
        <f>+'4.1. Samtryggingard.'!BA65</f>
        <v>88535.565</v>
      </c>
      <c r="G50" s="16"/>
      <c r="H50" s="16"/>
    </row>
    <row r="51" spans="1:8" s="159" customFormat="1" ht="12" customHeight="1">
      <c r="A51" s="308">
        <v>47</v>
      </c>
      <c r="B51" s="308"/>
      <c r="C51" s="298" t="s">
        <v>28</v>
      </c>
      <c r="D51" s="16">
        <f t="shared" si="0"/>
        <v>7967</v>
      </c>
      <c r="E51" s="16"/>
      <c r="F51" s="16">
        <f>+'4.1. Samtryggingard.'!BB65</f>
        <v>7967</v>
      </c>
      <c r="G51" s="16"/>
      <c r="H51" s="16"/>
    </row>
    <row r="52" spans="1:8" s="159" customFormat="1" ht="12" customHeight="1">
      <c r="A52" s="308">
        <v>48</v>
      </c>
      <c r="B52" s="308"/>
      <c r="C52" s="298" t="s">
        <v>29</v>
      </c>
      <c r="D52" s="16">
        <f t="shared" si="0"/>
        <v>-16387</v>
      </c>
      <c r="E52" s="16"/>
      <c r="F52" s="16">
        <f>+'4.1. Samtryggingard.'!BC65</f>
        <v>-16387</v>
      </c>
      <c r="G52" s="16"/>
      <c r="H52" s="16"/>
    </row>
    <row r="53" spans="1:8" ht="15" customHeight="1" thickBot="1">
      <c r="A53" s="298"/>
      <c r="B53" s="311"/>
      <c r="C53" s="310" t="s">
        <v>66</v>
      </c>
      <c r="D53" s="321">
        <f>SUM(D5:D52)</f>
        <v>986534745.8686578</v>
      </c>
      <c r="E53" s="321">
        <f>SUM(E5:E52)</f>
        <v>630545873.443</v>
      </c>
      <c r="F53" s="321">
        <f>SUM(F5:F52)</f>
        <v>194382699.131</v>
      </c>
      <c r="G53" s="321">
        <f>SUM(G5:G52)</f>
        <v>79645208.743</v>
      </c>
      <c r="H53" s="321">
        <f>SUM(H5:H52)</f>
        <v>81960964.55165787</v>
      </c>
    </row>
    <row r="54" spans="1:8" ht="4.5" customHeight="1" thickTop="1">
      <c r="A54" s="298"/>
      <c r="B54" s="311"/>
      <c r="C54" s="310"/>
      <c r="D54" s="7"/>
      <c r="E54" s="7"/>
      <c r="F54" s="7"/>
      <c r="G54" s="7"/>
      <c r="H54" s="7"/>
    </row>
    <row r="55" ht="6.75" customHeight="1"/>
    <row r="56" spans="1:7" ht="12.75">
      <c r="A56" s="322" t="s">
        <v>67</v>
      </c>
      <c r="G56" s="56"/>
    </row>
    <row r="57" spans="1:8" ht="12.75">
      <c r="A57" s="322" t="s">
        <v>68</v>
      </c>
      <c r="G57" s="323"/>
      <c r="H57" s="323"/>
    </row>
    <row r="58" spans="1:8" ht="12.75">
      <c r="A58" s="323"/>
      <c r="B58" s="323"/>
      <c r="C58" s="323"/>
      <c r="D58" s="323"/>
      <c r="E58" s="323"/>
      <c r="G58" s="56"/>
      <c r="H58" s="56"/>
    </row>
    <row r="59" spans="1:8" ht="12.75">
      <c r="A59" s="323"/>
      <c r="B59" s="323"/>
      <c r="C59" s="324"/>
      <c r="D59" s="325">
        <f>+'2.2 Listi'!E53</f>
        <v>986534746.0556577</v>
      </c>
      <c r="E59" s="56"/>
      <c r="F59" s="326"/>
      <c r="G59" s="317"/>
      <c r="H59" s="56"/>
    </row>
    <row r="60" spans="1:6" ht="12.75">
      <c r="A60" s="323"/>
      <c r="B60" s="323"/>
      <c r="C60" s="324"/>
      <c r="D60" s="325">
        <f>+'3.1 Yfirlit '!AY67</f>
        <v>986534746.2589</v>
      </c>
      <c r="E60" s="56"/>
      <c r="F60" s="56"/>
    </row>
    <row r="61" spans="3:4" ht="12.75">
      <c r="C61" s="327"/>
      <c r="D61" s="325">
        <f>+'3.2 Efnah.'!AY57</f>
        <v>986534746.0556577</v>
      </c>
    </row>
    <row r="62" ht="12">
      <c r="E62" s="19"/>
    </row>
    <row r="65" ht="12.75">
      <c r="E65" s="56"/>
    </row>
  </sheetData>
  <sheetProtection/>
  <mergeCells count="1">
    <mergeCell ref="E1:G1"/>
  </mergeCells>
  <printOptions/>
  <pageMargins left="0.35433070866141736" right="0" top="0.984251968503937" bottom="0.3937007874015748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Roman,Bold"&amp;14 2.3. YFIRLIT YFIR LÍFEYRISSJÓÐAKERFI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94"/>
  <sheetViews>
    <sheetView zoomScalePageLayoutView="0" workbookViewId="0" topLeftCell="A1">
      <pane xSplit="1" ySplit="5" topLeftCell="B6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1" sqref="A1"/>
    </sheetView>
  </sheetViews>
  <sheetFormatPr defaultColWidth="9.28125" defaultRowHeight="12.75"/>
  <cols>
    <col min="1" max="1" width="27.7109375" style="18" customWidth="1"/>
    <col min="2" max="2" width="9.57421875" style="18" customWidth="1"/>
    <col min="3" max="3" width="9.7109375" style="18" customWidth="1"/>
    <col min="4" max="35" width="9.28125" style="18" customWidth="1"/>
    <col min="36" max="36" width="10.7109375" style="18" bestFit="1" customWidth="1"/>
    <col min="37" max="39" width="9.28125" style="18" customWidth="1"/>
    <col min="40" max="42" width="10.7109375" style="18" bestFit="1" customWidth="1"/>
    <col min="43" max="44" width="9.28125" style="18" customWidth="1"/>
    <col min="45" max="45" width="13.140625" style="18" customWidth="1"/>
    <col min="46" max="46" width="9.140625" style="18" bestFit="1" customWidth="1"/>
    <col min="47" max="47" width="9.28125" style="18" customWidth="1"/>
    <col min="48" max="48" width="9.57421875" style="18" customWidth="1"/>
    <col min="49" max="49" width="10.28125" style="18" bestFit="1" customWidth="1"/>
    <col min="50" max="50" width="7.8515625" style="0" customWidth="1"/>
    <col min="51" max="51" width="11.421875" style="18" bestFit="1" customWidth="1"/>
    <col min="52" max="52" width="11.7109375" style="18" customWidth="1"/>
    <col min="53" max="16384" width="9.28125" style="18" customWidth="1"/>
  </cols>
  <sheetData>
    <row r="1" spans="1:52" ht="12.75" customHeight="1">
      <c r="A1" s="7"/>
      <c r="B1" s="55" t="s">
        <v>69</v>
      </c>
      <c r="C1" s="55" t="s">
        <v>69</v>
      </c>
      <c r="D1" s="55" t="s">
        <v>69</v>
      </c>
      <c r="E1" s="55" t="s">
        <v>69</v>
      </c>
      <c r="F1" s="55" t="s">
        <v>70</v>
      </c>
      <c r="G1" s="55" t="s">
        <v>69</v>
      </c>
      <c r="H1" s="55" t="s">
        <v>73</v>
      </c>
      <c r="I1" s="55" t="s">
        <v>71</v>
      </c>
      <c r="J1" s="55" t="s">
        <v>481</v>
      </c>
      <c r="K1" s="55" t="s">
        <v>69</v>
      </c>
      <c r="L1" s="55" t="s">
        <v>69</v>
      </c>
      <c r="M1" s="55" t="s">
        <v>72</v>
      </c>
      <c r="N1" s="55" t="s">
        <v>69</v>
      </c>
      <c r="O1" s="55" t="s">
        <v>69</v>
      </c>
      <c r="P1" s="55" t="s">
        <v>69</v>
      </c>
      <c r="Q1" s="55" t="s">
        <v>69</v>
      </c>
      <c r="R1" s="55" t="s">
        <v>69</v>
      </c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76</v>
      </c>
      <c r="Z1" s="55" t="s">
        <v>74</v>
      </c>
      <c r="AA1" s="55" t="s">
        <v>69</v>
      </c>
      <c r="AB1" s="55" t="s">
        <v>69</v>
      </c>
      <c r="AC1" s="55" t="s">
        <v>77</v>
      </c>
      <c r="AD1" s="55" t="s">
        <v>69</v>
      </c>
      <c r="AE1" s="55" t="s">
        <v>69</v>
      </c>
      <c r="AF1" s="55" t="s">
        <v>69</v>
      </c>
      <c r="AG1" s="55" t="s">
        <v>69</v>
      </c>
      <c r="AH1" s="55" t="s">
        <v>69</v>
      </c>
      <c r="AI1" s="55" t="s">
        <v>69</v>
      </c>
      <c r="AJ1" s="55" t="s">
        <v>77</v>
      </c>
      <c r="AK1" s="55" t="s">
        <v>69</v>
      </c>
      <c r="AL1" s="55" t="s">
        <v>69</v>
      </c>
      <c r="AM1" s="55" t="s">
        <v>69</v>
      </c>
      <c r="AN1" s="55" t="s">
        <v>77</v>
      </c>
      <c r="AO1" s="55" t="s">
        <v>77</v>
      </c>
      <c r="AP1" s="55" t="s">
        <v>77</v>
      </c>
      <c r="AQ1" s="55" t="s">
        <v>69</v>
      </c>
      <c r="AR1" s="55" t="s">
        <v>75</v>
      </c>
      <c r="AS1" s="55" t="s">
        <v>69</v>
      </c>
      <c r="AT1" s="55" t="s">
        <v>69</v>
      </c>
      <c r="AU1" s="55" t="s">
        <v>77</v>
      </c>
      <c r="AV1" s="55" t="s">
        <v>69</v>
      </c>
      <c r="AW1" s="55" t="s">
        <v>69</v>
      </c>
      <c r="AX1" s="18"/>
      <c r="AY1" s="55" t="s">
        <v>79</v>
      </c>
      <c r="AZ1" s="55"/>
    </row>
    <row r="2" spans="1:52" ht="12.75">
      <c r="A2" s="10" t="s">
        <v>62</v>
      </c>
      <c r="B2" s="55" t="s">
        <v>100</v>
      </c>
      <c r="C2" s="55" t="s">
        <v>80</v>
      </c>
      <c r="D2" s="55" t="s">
        <v>82</v>
      </c>
      <c r="E2" s="55" t="s">
        <v>84</v>
      </c>
      <c r="F2" s="55" t="s">
        <v>83</v>
      </c>
      <c r="G2" s="55" t="s">
        <v>85</v>
      </c>
      <c r="H2" s="55" t="s">
        <v>83</v>
      </c>
      <c r="I2" s="55" t="s">
        <v>83</v>
      </c>
      <c r="J2" s="55" t="s">
        <v>95</v>
      </c>
      <c r="K2" s="55" t="s">
        <v>87</v>
      </c>
      <c r="L2" s="55" t="s">
        <v>86</v>
      </c>
      <c r="M2" s="55" t="s">
        <v>83</v>
      </c>
      <c r="N2" s="55" t="s">
        <v>90</v>
      </c>
      <c r="O2" s="55" t="s">
        <v>88</v>
      </c>
      <c r="P2" s="55" t="s">
        <v>89</v>
      </c>
      <c r="Q2" s="55" t="s">
        <v>93</v>
      </c>
      <c r="R2" s="55" t="s">
        <v>96</v>
      </c>
      <c r="S2" s="55" t="s">
        <v>92</v>
      </c>
      <c r="T2" s="55" t="s">
        <v>94</v>
      </c>
      <c r="U2" s="55" t="s">
        <v>91</v>
      </c>
      <c r="V2" s="55" t="s">
        <v>100</v>
      </c>
      <c r="W2" s="55" t="s">
        <v>97</v>
      </c>
      <c r="X2" s="55" t="s">
        <v>100</v>
      </c>
      <c r="Y2" s="55" t="s">
        <v>83</v>
      </c>
      <c r="Z2" s="55" t="s">
        <v>98</v>
      </c>
      <c r="AA2" s="55" t="s">
        <v>100</v>
      </c>
      <c r="AB2" s="55" t="s">
        <v>101</v>
      </c>
      <c r="AC2" s="55" t="s">
        <v>100</v>
      </c>
      <c r="AD2" s="55" t="s">
        <v>102</v>
      </c>
      <c r="AE2" s="55" t="s">
        <v>105</v>
      </c>
      <c r="AF2" s="55" t="s">
        <v>104</v>
      </c>
      <c r="AG2" s="55" t="s">
        <v>103</v>
      </c>
      <c r="AH2" s="55" t="s">
        <v>109</v>
      </c>
      <c r="AI2" s="55" t="s">
        <v>106</v>
      </c>
      <c r="AJ2" s="55" t="s">
        <v>107</v>
      </c>
      <c r="AK2" s="55" t="s">
        <v>108</v>
      </c>
      <c r="AL2" s="55" t="s">
        <v>110</v>
      </c>
      <c r="AM2" s="55" t="s">
        <v>111</v>
      </c>
      <c r="AN2" s="55" t="s">
        <v>113</v>
      </c>
      <c r="AO2" s="55" t="s">
        <v>112</v>
      </c>
      <c r="AP2" s="55" t="s">
        <v>114</v>
      </c>
      <c r="AQ2" s="55" t="s">
        <v>100</v>
      </c>
      <c r="AR2" s="55" t="s">
        <v>99</v>
      </c>
      <c r="AS2" s="55" t="s">
        <v>395</v>
      </c>
      <c r="AT2" s="55" t="s">
        <v>115</v>
      </c>
      <c r="AU2" s="55" t="s">
        <v>116</v>
      </c>
      <c r="AV2" s="55" t="s">
        <v>118</v>
      </c>
      <c r="AW2" s="55" t="s">
        <v>117</v>
      </c>
      <c r="AX2" s="18"/>
      <c r="AY2" s="55" t="s">
        <v>119</v>
      </c>
      <c r="AZ2" s="55"/>
    </row>
    <row r="3" spans="1:52" ht="12.75">
      <c r="A3" s="7"/>
      <c r="B3" s="55" t="s">
        <v>526</v>
      </c>
      <c r="C3" s="55" t="s">
        <v>122</v>
      </c>
      <c r="D3" s="55" t="s">
        <v>57</v>
      </c>
      <c r="E3" s="55" t="s">
        <v>57</v>
      </c>
      <c r="F3" s="55" t="s">
        <v>99</v>
      </c>
      <c r="G3" s="55" t="s">
        <v>123</v>
      </c>
      <c r="H3" s="55" t="s">
        <v>99</v>
      </c>
      <c r="I3" s="55" t="s">
        <v>124</v>
      </c>
      <c r="J3" s="55"/>
      <c r="K3" s="55" t="s">
        <v>57</v>
      </c>
      <c r="L3" s="55" t="s">
        <v>125</v>
      </c>
      <c r="M3" s="55" t="s">
        <v>99</v>
      </c>
      <c r="N3" s="55" t="s">
        <v>57</v>
      </c>
      <c r="O3" s="55" t="s">
        <v>123</v>
      </c>
      <c r="P3" s="55" t="s">
        <v>126</v>
      </c>
      <c r="Q3" s="55" t="s">
        <v>128</v>
      </c>
      <c r="R3" s="55" t="s">
        <v>130</v>
      </c>
      <c r="S3" s="55" t="s">
        <v>127</v>
      </c>
      <c r="T3" s="55" t="s">
        <v>129</v>
      </c>
      <c r="U3" s="55" t="s">
        <v>57</v>
      </c>
      <c r="V3" s="55" t="s">
        <v>139</v>
      </c>
      <c r="W3" s="55" t="s">
        <v>123</v>
      </c>
      <c r="X3" s="55" t="s">
        <v>134</v>
      </c>
      <c r="Y3" s="55" t="s">
        <v>133</v>
      </c>
      <c r="Z3" s="55" t="s">
        <v>131</v>
      </c>
      <c r="AA3" s="55" t="s">
        <v>132</v>
      </c>
      <c r="AB3" s="55"/>
      <c r="AC3" s="55" t="s">
        <v>136</v>
      </c>
      <c r="AD3" s="55" t="s">
        <v>135</v>
      </c>
      <c r="AE3" s="55"/>
      <c r="AF3" s="55" t="s">
        <v>138</v>
      </c>
      <c r="AG3" s="55" t="s">
        <v>137</v>
      </c>
      <c r="AH3" s="55" t="s">
        <v>142</v>
      </c>
      <c r="AI3" s="55" t="s">
        <v>372</v>
      </c>
      <c r="AJ3" s="55" t="s">
        <v>140</v>
      </c>
      <c r="AK3" s="55" t="s">
        <v>141</v>
      </c>
      <c r="AL3" s="55" t="s">
        <v>143</v>
      </c>
      <c r="AM3" s="55" t="s">
        <v>144</v>
      </c>
      <c r="AN3" s="55" t="s">
        <v>145</v>
      </c>
      <c r="AO3" s="55" t="s">
        <v>101</v>
      </c>
      <c r="AP3" s="55" t="s">
        <v>146</v>
      </c>
      <c r="AQ3" s="55" t="s">
        <v>147</v>
      </c>
      <c r="AR3" s="55" t="s">
        <v>148</v>
      </c>
      <c r="AS3" s="55" t="s">
        <v>394</v>
      </c>
      <c r="AT3" s="55" t="s">
        <v>149</v>
      </c>
      <c r="AU3" s="55" t="s">
        <v>150</v>
      </c>
      <c r="AV3" s="55" t="s">
        <v>152</v>
      </c>
      <c r="AW3" s="55" t="s">
        <v>151</v>
      </c>
      <c r="AX3" s="18"/>
      <c r="AY3" s="55" t="s">
        <v>153</v>
      </c>
      <c r="AZ3" s="55"/>
    </row>
    <row r="4" spans="1:52" s="59" customFormat="1" ht="12.75">
      <c r="A4" s="55"/>
      <c r="B4" s="58" t="s">
        <v>362</v>
      </c>
      <c r="C4" s="58" t="s">
        <v>155</v>
      </c>
      <c r="D4" s="58" t="s">
        <v>159</v>
      </c>
      <c r="E4" s="58" t="s">
        <v>160</v>
      </c>
      <c r="F4" s="58" t="s">
        <v>163</v>
      </c>
      <c r="G4" s="58" t="s">
        <v>164</v>
      </c>
      <c r="H4" s="58" t="s">
        <v>165</v>
      </c>
      <c r="I4" s="58" t="s">
        <v>166</v>
      </c>
      <c r="J4" s="58" t="s">
        <v>167</v>
      </c>
      <c r="K4" s="58" t="s">
        <v>168</v>
      </c>
      <c r="L4" s="58" t="s">
        <v>169</v>
      </c>
      <c r="M4" s="58" t="s">
        <v>170</v>
      </c>
      <c r="N4" s="58" t="s">
        <v>171</v>
      </c>
      <c r="O4" s="58" t="s">
        <v>172</v>
      </c>
      <c r="P4" s="58" t="s">
        <v>173</v>
      </c>
      <c r="Q4" s="58" t="s">
        <v>174</v>
      </c>
      <c r="R4" s="58" t="s">
        <v>175</v>
      </c>
      <c r="S4" s="58" t="s">
        <v>176</v>
      </c>
      <c r="T4" s="58" t="s">
        <v>177</v>
      </c>
      <c r="U4" s="58" t="s">
        <v>178</v>
      </c>
      <c r="V4" s="58" t="s">
        <v>179</v>
      </c>
      <c r="W4" s="58" t="s">
        <v>180</v>
      </c>
      <c r="X4" s="58" t="s">
        <v>477</v>
      </c>
      <c r="Y4" s="58" t="s">
        <v>181</v>
      </c>
      <c r="Z4" s="58" t="s">
        <v>182</v>
      </c>
      <c r="AA4" s="58" t="s">
        <v>183</v>
      </c>
      <c r="AB4" s="58" t="s">
        <v>184</v>
      </c>
      <c r="AC4" s="58" t="s">
        <v>185</v>
      </c>
      <c r="AD4" s="58" t="s">
        <v>186</v>
      </c>
      <c r="AE4" s="58" t="s">
        <v>187</v>
      </c>
      <c r="AF4" s="58" t="s">
        <v>188</v>
      </c>
      <c r="AG4" s="58" t="s">
        <v>189</v>
      </c>
      <c r="AH4" s="58" t="s">
        <v>192</v>
      </c>
      <c r="AI4" s="58" t="s">
        <v>193</v>
      </c>
      <c r="AJ4" s="58" t="s">
        <v>194</v>
      </c>
      <c r="AK4" s="58" t="s">
        <v>195</v>
      </c>
      <c r="AL4" s="58" t="s">
        <v>196</v>
      </c>
      <c r="AM4" s="58" t="s">
        <v>198</v>
      </c>
      <c r="AN4" s="58" t="s">
        <v>199</v>
      </c>
      <c r="AO4" s="58" t="s">
        <v>200</v>
      </c>
      <c r="AP4" s="58" t="s">
        <v>201</v>
      </c>
      <c r="AQ4" s="58" t="s">
        <v>202</v>
      </c>
      <c r="AR4" s="58" t="s">
        <v>203</v>
      </c>
      <c r="AS4" s="58" t="s">
        <v>204</v>
      </c>
      <c r="AT4" s="58" t="s">
        <v>205</v>
      </c>
      <c r="AU4" s="58" t="s">
        <v>206</v>
      </c>
      <c r="AV4" s="58" t="s">
        <v>207</v>
      </c>
      <c r="AW4" s="58" t="s">
        <v>208</v>
      </c>
      <c r="AY4" s="55"/>
      <c r="AZ4" s="55"/>
    </row>
    <row r="5" spans="1:52" ht="12.75">
      <c r="A5" s="15" t="s">
        <v>264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8"/>
      <c r="AY5" s="7"/>
      <c r="AZ5" s="7"/>
    </row>
    <row r="6" spans="1:52" ht="12.75">
      <c r="A6" s="17" t="s">
        <v>265</v>
      </c>
      <c r="B6" s="8">
        <f>+'4.1. Samtryggingard.'!B10+'4.1. Samtryggingard.'!C10+'5.1. Séreignard.'!B10+'5.1. Séreignard.'!C10+'5.1. Séreignard.'!D10</f>
        <v>3290612</v>
      </c>
      <c r="C6" s="8">
        <f>+'4.1. Samtryggingard.'!D10+'5.1. Séreignard.'!E10</f>
        <v>3583754</v>
      </c>
      <c r="D6" s="8">
        <f>+'4.1. Samtryggingard.'!E10+'5.1. Séreignard.'!F10+'5.1. Séreignard.'!G10</f>
        <v>1474311.841</v>
      </c>
      <c r="E6" s="8">
        <f>+'4.1. Samtryggingard.'!F10+'5.1. Séreignard.'!H10+'5.1. Séreignard.'!I10+'5.1. Séreignard.'!J10</f>
        <v>753202</v>
      </c>
      <c r="F6" s="8">
        <f>+'4.1. Samtryggingard.'!G10+'4.1. Samtryggingard.'!H10+'5.1. Séreignard.'!K10+'5.1. Séreignard.'!L10</f>
        <v>1361147.5</v>
      </c>
      <c r="G6" s="8">
        <f>+'4.1. Samtryggingard.'!I10+'5.1. Séreignard.'!M10+'5.1. Séreignard.'!N10</f>
        <v>772218</v>
      </c>
      <c r="H6" s="8">
        <f>+'4.1. Samtryggingard.'!J10+'5.1. Séreignard.'!O10+'5.1. Séreignard.'!P10+'5.1. Séreignard.'!Q10</f>
        <v>1502029</v>
      </c>
      <c r="I6" s="8">
        <f>+'4.1. Samtryggingard.'!K10+'5.1. Séreignard.'!R10</f>
        <v>671346</v>
      </c>
      <c r="J6" s="8">
        <f>+'4.1. Samtryggingard.'!L10+'5.1. Séreignard.'!S10+'5.1. Séreignard.'!T10+'5.1. Séreignard.'!U10+'5.1. Séreignard.'!V10</f>
        <v>1568870.1509999998</v>
      </c>
      <c r="K6" s="8">
        <f>+'4.1. Samtryggingard.'!M10+'5.1. Séreignard.'!W10+'5.1. Séreignard.'!X10</f>
        <v>670904</v>
      </c>
      <c r="L6" s="8">
        <f>+'4.1. Samtryggingard.'!N10+'4.1. Samtryggingard.'!O10</f>
        <v>320492</v>
      </c>
      <c r="M6" s="8">
        <f>+'4.1. Samtryggingard.'!P10+'4.1. Samtryggingard.'!Q10+'5.1. Séreignard.'!Y10</f>
        <v>327637</v>
      </c>
      <c r="N6" s="79">
        <f>+'4.1. Samtryggingard.'!R10</f>
        <v>302780</v>
      </c>
      <c r="O6" s="8">
        <f>+'4.1. Samtryggingard.'!S10+'5.1. Séreignard.'!Z10</f>
        <v>427041</v>
      </c>
      <c r="P6" s="8">
        <f>+'4.1. Samtryggingard.'!T10+'5.1. Séreignard.'!AA10</f>
        <v>193813</v>
      </c>
      <c r="Q6" s="8">
        <f>+'4.1. Samtryggingard.'!U10+'5.1. Séreignard.'!AB10</f>
        <v>590829</v>
      </c>
      <c r="R6" s="135">
        <f>+'4.1. Samtryggingard.'!V10</f>
        <v>83628</v>
      </c>
      <c r="S6" s="8">
        <f>+'4.1. Samtryggingard.'!W10</f>
        <v>348792</v>
      </c>
      <c r="T6" s="8">
        <f>+'4.1. Samtryggingard.'!X10+'5.1. Séreignard.'!AC10+'5.1. Séreignard.'!AD10</f>
        <v>188313</v>
      </c>
      <c r="U6" s="79">
        <f>+'4.1. Samtryggingard.'!Y10</f>
        <v>138631</v>
      </c>
      <c r="V6" s="8">
        <f>+'4.1. Samtryggingard.'!Z10+'4.1. Samtryggingard.'!AA10+'5.1. Séreignard.'!AE10+'5.1. Séreignard.'!AF10+'5.1. Séreignard.'!AG10</f>
        <v>675766.197</v>
      </c>
      <c r="W6" s="135">
        <f>+'4.1. Samtryggingard.'!AB10+'5.1. Séreignard.'!AH10</f>
        <v>217234</v>
      </c>
      <c r="X6" s="8">
        <f>+'4.1. Samtryggingard.'!AC10</f>
        <v>134319</v>
      </c>
      <c r="Y6" s="8">
        <f>+'4.1. Samtryggingard.'!AD10+'5.1. Séreignard.'!AI10+'5.1. Séreignard.'!AJ10+'5.1. Séreignard.'!AK10+'5.1. Séreignard.'!AL10</f>
        <v>844306.618</v>
      </c>
      <c r="Z6" s="8">
        <f>+'4.1. Samtryggingard.'!AE10</f>
        <v>112164</v>
      </c>
      <c r="AA6" s="8">
        <f>+'4.1. Samtryggingard.'!AF10</f>
        <v>22533.24</v>
      </c>
      <c r="AB6" s="8">
        <f>+'4.1. Samtryggingard.'!AG10</f>
        <v>170153</v>
      </c>
      <c r="AC6" s="8">
        <f>+'4.1. Samtryggingard.'!AH10</f>
        <v>0</v>
      </c>
      <c r="AD6" s="8">
        <f>+'4.1. Samtryggingard.'!AI10+'4.1. Samtryggingard.'!AJ10</f>
        <v>0</v>
      </c>
      <c r="AE6" s="8">
        <f>+'4.1. Samtryggingard.'!AK10+'5.1. Séreignard.'!AM10</f>
        <v>52378</v>
      </c>
      <c r="AF6" s="8">
        <f>+'4.1. Samtryggingard.'!AL10</f>
        <v>39253</v>
      </c>
      <c r="AG6" s="8">
        <f>+'4.1. Samtryggingard.'!AM10</f>
        <v>0</v>
      </c>
      <c r="AH6" s="8">
        <f>+'4.1. Samtryggingard.'!AN10+'5.1. Séreignard.'!AN10</f>
        <v>39310</v>
      </c>
      <c r="AI6" s="8">
        <f>+'4.1. Samtryggingard.'!AO10</f>
        <v>18907</v>
      </c>
      <c r="AJ6" s="8">
        <f>+'4.1. Samtryggingard.'!AP10</f>
        <v>21701</v>
      </c>
      <c r="AK6" s="8">
        <f>+'4.1. Samtryggingard.'!AQ10</f>
        <v>0</v>
      </c>
      <c r="AL6" s="8">
        <f>+'4.1. Samtryggingard.'!AR10</f>
        <v>21359</v>
      </c>
      <c r="AM6" s="8">
        <f>+'4.1. Samtryggingard.'!AS10</f>
        <v>7336</v>
      </c>
      <c r="AN6" s="8">
        <f>+'4.1. Samtryggingard.'!AT10</f>
        <v>0</v>
      </c>
      <c r="AO6" s="8">
        <f>+'4.1. Samtryggingard.'!AU10</f>
        <v>0</v>
      </c>
      <c r="AP6" s="8">
        <f>+'4.1. Samtryggingard.'!AV10</f>
        <v>14109</v>
      </c>
      <c r="AQ6" s="8">
        <f>+'4.1. Samtryggingard.'!AW10</f>
        <v>0</v>
      </c>
      <c r="AR6" s="8">
        <f>+'4.1. Samtryggingard.'!AX10</f>
        <v>0</v>
      </c>
      <c r="AS6" s="8">
        <f>+'4.1. Samtryggingard.'!AY10</f>
        <v>2866.384</v>
      </c>
      <c r="AT6" s="8">
        <f>+'4.1. Samtryggingard.'!AZ10</f>
        <v>2175</v>
      </c>
      <c r="AU6" s="8">
        <f>+'4.1. Samtryggingard.'!BA10</f>
        <v>0</v>
      </c>
      <c r="AV6" s="8">
        <f>+'4.1. Samtryggingard.'!BB10</f>
        <v>0</v>
      </c>
      <c r="AW6" s="8">
        <f>+'4.1. Samtryggingard.'!BC10</f>
        <v>4670</v>
      </c>
      <c r="AX6" s="18"/>
      <c r="AY6" s="18">
        <f>SUM(B6:AW6)</f>
        <v>20970890.930999998</v>
      </c>
      <c r="AZ6" s="7"/>
    </row>
    <row r="7" spans="1:52" ht="12.75">
      <c r="A7" s="17" t="s">
        <v>266</v>
      </c>
      <c r="B7" s="8">
        <f>+'4.1. Samtryggingard.'!B11+'4.1. Samtryggingard.'!C11+'5.1. Séreignard.'!B11+'5.1. Séreignard.'!C11+'5.1. Séreignard.'!D11</f>
        <v>7542934</v>
      </c>
      <c r="C7" s="8">
        <f>+'4.1. Samtryggingard.'!D11+'5.1. Séreignard.'!E11</f>
        <v>5375631</v>
      </c>
      <c r="D7" s="8">
        <f>+'4.1. Samtryggingard.'!E11+'5.1. Séreignard.'!F11+'5.1. Séreignard.'!G11</f>
        <v>2340844.2029999997</v>
      </c>
      <c r="E7" s="8">
        <f>+'4.1. Samtryggingard.'!F11+'5.1. Séreignard.'!H11+'5.1. Séreignard.'!I11+'5.1. Séreignard.'!J11</f>
        <v>1122677</v>
      </c>
      <c r="F7" s="8">
        <f>+'4.1. Samtryggingard.'!G11+'4.1. Samtryggingard.'!H11+'5.1. Séreignard.'!K11+'5.1. Séreignard.'!L11</f>
        <v>1978234.5</v>
      </c>
      <c r="G7" s="8">
        <f>+'4.1. Samtryggingard.'!I11+'5.1. Séreignard.'!M11+'5.1. Séreignard.'!N11</f>
        <v>1147744</v>
      </c>
      <c r="H7" s="8">
        <f>+'4.1. Samtryggingard.'!J11+'5.1. Séreignard.'!O11+'5.1. Séreignard.'!P11+'5.1. Séreignard.'!Q11</f>
        <v>2186195</v>
      </c>
      <c r="I7" s="8">
        <f>+'4.1. Samtryggingard.'!K11+'5.1. Séreignard.'!R11</f>
        <v>1021759</v>
      </c>
      <c r="J7" s="8">
        <f>+'4.1. Samtryggingard.'!L11+'5.1. Séreignard.'!S11+'5.1. Séreignard.'!T11+'5.1. Séreignard.'!U11+'5.1. Séreignard.'!V11</f>
        <v>2069152.22</v>
      </c>
      <c r="K7" s="8">
        <f>+'4.1. Samtryggingard.'!M11+'5.1. Séreignard.'!W11+'5.1. Séreignard.'!X11</f>
        <v>1000925</v>
      </c>
      <c r="L7" s="8">
        <f>+'4.1. Samtryggingard.'!N11+'4.1. Samtryggingard.'!O11</f>
        <v>644262</v>
      </c>
      <c r="M7" s="8">
        <f>+'4.1. Samtryggingard.'!P11+'4.1. Samtryggingard.'!Q11+'5.1. Séreignard.'!Y11</f>
        <v>488458</v>
      </c>
      <c r="N7" s="79">
        <f>+'4.1. Samtryggingard.'!R11</f>
        <v>490711</v>
      </c>
      <c r="O7" s="8">
        <f>+'4.1. Samtryggingard.'!S11+'5.1. Séreignard.'!Z11</f>
        <v>666946</v>
      </c>
      <c r="P7" s="8">
        <f>+'4.1. Samtryggingard.'!T11+'5.1. Séreignard.'!AA11</f>
        <v>307304</v>
      </c>
      <c r="Q7" s="8">
        <f>+'4.1. Samtryggingard.'!U11+'5.1. Séreignard.'!AB11</f>
        <v>827150</v>
      </c>
      <c r="R7" s="135">
        <f>+'4.1. Samtryggingard.'!V11</f>
        <v>139981</v>
      </c>
      <c r="S7" s="8">
        <f>+'4.1. Samtryggingard.'!W11</f>
        <v>523187</v>
      </c>
      <c r="T7" s="8">
        <f>+'4.1. Samtryggingard.'!X11+'5.1. Séreignard.'!AC11+'5.1. Séreignard.'!AD11</f>
        <v>282471</v>
      </c>
      <c r="U7" s="79">
        <f>+'4.1. Samtryggingard.'!Y11</f>
        <v>246346</v>
      </c>
      <c r="V7" s="8">
        <f>+'4.1. Samtryggingard.'!Z11+'4.1. Samtryggingard.'!AA11+'5.1. Séreignard.'!AE11+'5.1. Séreignard.'!AF11+'5.1. Séreignard.'!AG11</f>
        <v>1789762.3200000003</v>
      </c>
      <c r="W7" s="135">
        <f>+'4.1. Samtryggingard.'!AB11+'5.1. Séreignard.'!AH11</f>
        <v>344236</v>
      </c>
      <c r="X7" s="8">
        <f>+'4.1. Samtryggingard.'!AC11</f>
        <v>347846</v>
      </c>
      <c r="Y7" s="8">
        <f>+'4.1. Samtryggingard.'!AD11+'5.1. Séreignard.'!AI11+'5.1. Séreignard.'!AJ11+'5.1. Séreignard.'!AK11+'5.1. Séreignard.'!AL11</f>
        <v>909516.7749999999</v>
      </c>
      <c r="Z7" s="8">
        <f>+'4.1. Samtryggingard.'!AE11</f>
        <v>448657</v>
      </c>
      <c r="AA7" s="8">
        <f>+'4.1. Samtryggingard.'!AF11</f>
        <v>82299.315</v>
      </c>
      <c r="AB7" s="8">
        <f>+'4.1. Samtryggingard.'!AG11</f>
        <v>255229</v>
      </c>
      <c r="AC7" s="8">
        <f>+'4.1. Samtryggingard.'!AH11</f>
        <v>495363</v>
      </c>
      <c r="AD7" s="8">
        <f>+'4.1. Samtryggingard.'!AI11+'4.1. Samtryggingard.'!AJ11</f>
        <v>0</v>
      </c>
      <c r="AE7" s="8">
        <f>+'4.1. Samtryggingard.'!AK11+'5.1. Séreignard.'!AM11</f>
        <v>83341</v>
      </c>
      <c r="AF7" s="8">
        <f>+'4.1. Samtryggingard.'!AL11</f>
        <v>58879</v>
      </c>
      <c r="AG7" s="8">
        <f>+'4.1. Samtryggingard.'!AM11</f>
        <v>0</v>
      </c>
      <c r="AH7" s="8">
        <f>+'4.1. Samtryggingard.'!AN11+'5.1. Séreignard.'!AN11</f>
        <v>53878</v>
      </c>
      <c r="AI7" s="8">
        <f>+'4.1. Samtryggingard.'!AO11</f>
        <v>28361</v>
      </c>
      <c r="AJ7" s="8">
        <f>+'4.1. Samtryggingard.'!AP11</f>
        <v>47205</v>
      </c>
      <c r="AK7" s="8">
        <f>+'4.1. Samtryggingard.'!AQ11</f>
        <v>0</v>
      </c>
      <c r="AL7" s="8">
        <f>+'4.1. Samtryggingard.'!AR11</f>
        <v>110163</v>
      </c>
      <c r="AM7" s="8">
        <f>+'4.1. Samtryggingard.'!AS11</f>
        <v>11005</v>
      </c>
      <c r="AN7" s="8">
        <f>+'4.1. Samtryggingard.'!AT11</f>
        <v>0</v>
      </c>
      <c r="AO7" s="8">
        <f>+'4.1. Samtryggingard.'!AU11</f>
        <v>0</v>
      </c>
      <c r="AP7" s="8">
        <f>+'4.1. Samtryggingard.'!AV11</f>
        <v>21164</v>
      </c>
      <c r="AQ7" s="8">
        <f>+'4.1. Samtryggingard.'!AW11</f>
        <v>0</v>
      </c>
      <c r="AR7" s="8">
        <f>+'4.1. Samtryggingard.'!AX11</f>
        <v>0</v>
      </c>
      <c r="AS7" s="8">
        <f>+'4.1. Samtryggingard.'!AY11</f>
        <v>4299.584</v>
      </c>
      <c r="AT7" s="8">
        <f>+'4.1. Samtryggingard.'!AZ11</f>
        <v>3262</v>
      </c>
      <c r="AU7" s="8">
        <f>+'4.1. Samtryggingard.'!BA11</f>
        <v>0</v>
      </c>
      <c r="AV7" s="8">
        <f>+'4.1. Samtryggingard.'!BB11</f>
        <v>0</v>
      </c>
      <c r="AW7" s="8">
        <f>+'4.1. Samtryggingard.'!BC11</f>
        <v>7005</v>
      </c>
      <c r="AX7" s="18"/>
      <c r="AY7" s="18">
        <f>SUM(B7:AW7)</f>
        <v>35504383.916999996</v>
      </c>
      <c r="AZ7" s="7"/>
    </row>
    <row r="8" spans="1:52" ht="12.75">
      <c r="A8" s="17" t="s">
        <v>267</v>
      </c>
      <c r="B8" s="8">
        <f>+'4.1. Samtryggingard.'!B12+'4.1. Samtryggingard.'!C12+'5.1. Séreignard.'!B12+'5.1. Séreignard.'!C12+'5.1. Séreignard.'!D12</f>
        <v>-5764</v>
      </c>
      <c r="C8" s="8">
        <f>+'4.1. Samtryggingard.'!D12+'5.1. Séreignard.'!E12</f>
        <v>0</v>
      </c>
      <c r="D8" s="8">
        <f>+'4.1. Samtryggingard.'!E12+'5.1. Séreignard.'!F12+'5.1. Séreignard.'!G12</f>
        <v>-45312.7</v>
      </c>
      <c r="E8" s="8">
        <f>+'4.1. Samtryggingard.'!F12+'5.1. Séreignard.'!H12+'5.1. Séreignard.'!I12+'5.1. Séreignard.'!J12</f>
        <v>-1464</v>
      </c>
      <c r="F8" s="8">
        <f>+'4.1. Samtryggingard.'!G12+'4.1. Samtryggingard.'!H12+'5.1. Séreignard.'!K12+'5.1. Séreignard.'!L12</f>
        <v>44602</v>
      </c>
      <c r="G8" s="8">
        <f>+'4.1. Samtryggingard.'!I12+'5.1. Séreignard.'!M12+'5.1. Séreignard.'!N12</f>
        <v>-2813</v>
      </c>
      <c r="H8" s="8">
        <f>+'4.1. Samtryggingard.'!J12+'5.1. Séreignard.'!O12+'5.1. Séreignard.'!P12+'5.1. Séreignard.'!Q12</f>
        <v>-503536</v>
      </c>
      <c r="I8" s="8">
        <f>+'4.1. Samtryggingard.'!K12+'5.1. Séreignard.'!R12</f>
        <v>-45239</v>
      </c>
      <c r="J8" s="8">
        <f>+'4.1. Samtryggingard.'!L12+'5.1. Séreignard.'!S12+'5.1. Séreignard.'!T12+'5.1. Séreignard.'!U12+'5.1. Séreignard.'!V12</f>
        <v>265387.036</v>
      </c>
      <c r="K8" s="8">
        <f>+'4.1. Samtryggingard.'!M12+'5.1. Séreignard.'!W12+'5.1. Séreignard.'!X12</f>
        <v>146</v>
      </c>
      <c r="L8" s="8">
        <f>+'4.1. Samtryggingard.'!N12+'4.1. Samtryggingard.'!O12</f>
        <v>-3635</v>
      </c>
      <c r="M8" s="8">
        <f>+'4.1. Samtryggingard.'!P12+'4.1. Samtryggingard.'!Q12+'5.1. Séreignard.'!Y12</f>
        <v>-4188</v>
      </c>
      <c r="N8" s="79">
        <f>+'4.1. Samtryggingard.'!R12</f>
        <v>-509</v>
      </c>
      <c r="O8" s="8">
        <f>+'4.1. Samtryggingard.'!S12+'5.1. Séreignard.'!Z12</f>
        <v>-6592</v>
      </c>
      <c r="P8" s="8">
        <f>+'4.1. Samtryggingard.'!T12+'5.1. Séreignard.'!AA12</f>
        <v>-3959</v>
      </c>
      <c r="Q8" s="8">
        <f>+'4.1. Samtryggingard.'!U12+'5.1. Séreignard.'!AB12</f>
        <v>2556</v>
      </c>
      <c r="R8" s="135">
        <f>+'4.1. Samtryggingard.'!V12</f>
        <v>-27</v>
      </c>
      <c r="S8" s="8">
        <f>+'4.1. Samtryggingard.'!W12</f>
        <v>-4543</v>
      </c>
      <c r="T8" s="8">
        <f>+'4.1. Samtryggingard.'!X12+'5.1. Séreignard.'!AC12+'5.1. Séreignard.'!AD12</f>
        <v>-1738</v>
      </c>
      <c r="U8" s="79">
        <f>+'4.1. Samtryggingard.'!Y12</f>
        <v>2970</v>
      </c>
      <c r="V8" s="8">
        <f>+'4.1. Samtryggingard.'!Z12+'4.1. Samtryggingard.'!AA12+'5.1. Séreignard.'!AE12+'5.1. Séreignard.'!AF12+'5.1. Séreignard.'!AG12</f>
        <v>-6770.265000000001</v>
      </c>
      <c r="W8" s="135">
        <f>+'4.1. Samtryggingard.'!AB12+'5.1. Séreignard.'!AH12</f>
        <v>-6469</v>
      </c>
      <c r="X8" s="8">
        <f>+'4.1. Samtryggingard.'!AC12</f>
        <v>-7334</v>
      </c>
      <c r="Y8" s="8">
        <f>+'4.1. Samtryggingard.'!AD12+'5.1. Séreignard.'!AI12+'5.1. Séreignard.'!AJ12+'5.1. Séreignard.'!AK12+'5.1. Séreignard.'!AL12</f>
        <v>-102047.653</v>
      </c>
      <c r="Z8" s="8">
        <f>+'4.1. Samtryggingard.'!AE12</f>
        <v>0</v>
      </c>
      <c r="AA8" s="8">
        <f>+'4.1. Samtryggingard.'!AF12</f>
        <v>0</v>
      </c>
      <c r="AB8" s="8">
        <f>+'4.1. Samtryggingard.'!AG12</f>
        <v>-2576</v>
      </c>
      <c r="AC8" s="8">
        <f>+'4.1. Samtryggingard.'!AH12</f>
        <v>2567</v>
      </c>
      <c r="AD8" s="8">
        <f>+'4.1. Samtryggingard.'!AI12+'4.1. Samtryggingard.'!AJ12</f>
        <v>-737</v>
      </c>
      <c r="AE8" s="8">
        <f>+'4.1. Samtryggingard.'!AK12+'5.1. Séreignard.'!AM12</f>
        <v>-11842</v>
      </c>
      <c r="AF8" s="8">
        <f>+'4.1. Samtryggingard.'!AL12</f>
        <v>-1308</v>
      </c>
      <c r="AG8" s="8">
        <f>+'4.1. Samtryggingard.'!AM12</f>
        <v>0</v>
      </c>
      <c r="AH8" s="8">
        <f>+'4.1. Samtryggingard.'!AN12+'5.1. Séreignard.'!AN12</f>
        <v>0</v>
      </c>
      <c r="AI8" s="8">
        <f>+'4.1. Samtryggingard.'!AO12</f>
        <v>50</v>
      </c>
      <c r="AJ8" s="8">
        <f>+'4.1. Samtryggingard.'!AP12</f>
        <v>0</v>
      </c>
      <c r="AK8" s="8">
        <f>+'4.1. Samtryggingard.'!AQ12</f>
        <v>-735</v>
      </c>
      <c r="AL8" s="8">
        <f>+'4.1. Samtryggingard.'!AR12</f>
        <v>-214</v>
      </c>
      <c r="AM8" s="8">
        <f>+'4.1. Samtryggingard.'!AS12</f>
        <v>-158</v>
      </c>
      <c r="AN8" s="8">
        <f>+'4.1. Samtryggingard.'!AT12</f>
        <v>-247.051</v>
      </c>
      <c r="AO8" s="8">
        <f>+'4.1. Samtryggingard.'!AU12</f>
        <v>-804.539</v>
      </c>
      <c r="AP8" s="8">
        <f>+'4.1. Samtryggingard.'!AV12</f>
        <v>0</v>
      </c>
      <c r="AQ8" s="8">
        <f>+'4.1. Samtryggingard.'!AW12</f>
        <v>0</v>
      </c>
      <c r="AR8" s="8">
        <f>+'4.1. Samtryggingard.'!AX12</f>
        <v>-12</v>
      </c>
      <c r="AS8" s="8">
        <f>+'4.1. Samtryggingard.'!AY12</f>
        <v>0</v>
      </c>
      <c r="AT8" s="8">
        <f>+'4.1. Samtryggingard.'!AZ12</f>
        <v>0</v>
      </c>
      <c r="AU8" s="8">
        <f>+'4.1. Samtryggingard.'!BA12</f>
        <v>0</v>
      </c>
      <c r="AV8" s="8">
        <f>+'4.1. Samtryggingard.'!BB12</f>
        <v>0</v>
      </c>
      <c r="AW8" s="8">
        <f>+'4.1. Samtryggingard.'!BC12</f>
        <v>0</v>
      </c>
      <c r="AX8" s="18"/>
      <c r="AY8" s="18">
        <f>SUM(B8:AW8)</f>
        <v>-452296.1719999999</v>
      </c>
      <c r="AZ8" s="7"/>
    </row>
    <row r="9" spans="1:52" ht="12.75">
      <c r="A9" s="17" t="s">
        <v>268</v>
      </c>
      <c r="B9" s="8">
        <f>+'4.1. Samtryggingard.'!B13+'4.1. Samtryggingard.'!C13+'5.1. Séreignard.'!B13+'5.1. Séreignard.'!C13+'5.1. Séreignard.'!D13</f>
        <v>13464239</v>
      </c>
      <c r="C9" s="8">
        <f>+'4.1. Samtryggingard.'!D13+'5.1. Séreignard.'!E13</f>
        <v>0</v>
      </c>
      <c r="D9" s="8">
        <f>+'4.1. Samtryggingard.'!E13+'5.1. Séreignard.'!F13+'5.1. Séreignard.'!G13</f>
        <v>0</v>
      </c>
      <c r="E9" s="8">
        <f>+'4.1. Samtryggingard.'!F13+'5.1. Séreignard.'!H13+'5.1. Séreignard.'!I13+'5.1. Séreignard.'!J13</f>
        <v>0</v>
      </c>
      <c r="F9" s="8">
        <f>+'4.1. Samtryggingard.'!G13+'4.1. Samtryggingard.'!H13+'5.1. Séreignard.'!K13+'5.1. Séreignard.'!L13</f>
        <v>0</v>
      </c>
      <c r="G9" s="8">
        <f>+'4.1. Samtryggingard.'!I13+'5.1. Séreignard.'!M13+'5.1. Séreignard.'!N13</f>
        <v>0</v>
      </c>
      <c r="H9" s="8">
        <f>+'4.1. Samtryggingard.'!J13+'5.1. Séreignard.'!O13+'5.1. Séreignard.'!P13+'5.1. Séreignard.'!Q13</f>
        <v>64784</v>
      </c>
      <c r="I9" s="8">
        <f>+'4.1. Samtryggingard.'!K13+'5.1. Séreignard.'!R13</f>
        <v>0</v>
      </c>
      <c r="J9" s="8">
        <f>+'4.1. Samtryggingard.'!L13+'5.1. Séreignard.'!S13+'5.1. Séreignard.'!T13+'5.1. Séreignard.'!U13+'5.1. Séreignard.'!V13</f>
        <v>0</v>
      </c>
      <c r="K9" s="8">
        <f>+'4.1. Samtryggingard.'!M13+'5.1. Séreignard.'!W13+'5.1. Séreignard.'!X13</f>
        <v>0</v>
      </c>
      <c r="L9" s="8">
        <f>+'4.1. Samtryggingard.'!N13+'4.1. Samtryggingard.'!O13</f>
        <v>0</v>
      </c>
      <c r="M9" s="8">
        <f>+'4.1. Samtryggingard.'!P13+'4.1. Samtryggingard.'!Q13+'5.1. Séreignard.'!Y13</f>
        <v>0</v>
      </c>
      <c r="N9" s="79">
        <f>+'4.1. Samtryggingard.'!R13</f>
        <v>0</v>
      </c>
      <c r="O9" s="8">
        <f>+'4.1. Samtryggingard.'!S13+'5.1. Séreignard.'!Z13</f>
        <v>0</v>
      </c>
      <c r="P9" s="8">
        <f>+'4.1. Samtryggingard.'!T13+'5.1. Séreignard.'!AA13</f>
        <v>0</v>
      </c>
      <c r="Q9" s="8">
        <f>+'4.1. Samtryggingard.'!U13+'5.1. Séreignard.'!AB13</f>
        <v>0</v>
      </c>
      <c r="R9" s="135">
        <f>+'4.1. Samtryggingard.'!V13</f>
        <v>1284784</v>
      </c>
      <c r="S9" s="8">
        <f>+'4.1. Samtryggingard.'!W13</f>
        <v>0</v>
      </c>
      <c r="T9" s="8">
        <f>+'4.1. Samtryggingard.'!X13+'5.1. Séreignard.'!AC13+'5.1. Séreignard.'!AD13</f>
        <v>0</v>
      </c>
      <c r="U9" s="79">
        <f>+'4.1. Samtryggingard.'!Y13</f>
        <v>0</v>
      </c>
      <c r="V9" s="8">
        <f>+'4.1. Samtryggingard.'!Z13+'4.1. Samtryggingard.'!AA13+'5.1. Séreignard.'!AE13+'5.1. Séreignard.'!AF13+'5.1. Séreignard.'!AG13</f>
        <v>0</v>
      </c>
      <c r="W9" s="135">
        <f>+'4.1. Samtryggingard.'!AB13+'5.1. Séreignard.'!AH13</f>
        <v>0</v>
      </c>
      <c r="X9" s="8">
        <f>+'4.1. Samtryggingard.'!AC13</f>
        <v>1034682</v>
      </c>
      <c r="Y9" s="8">
        <f>+'4.1. Samtryggingard.'!AD13+'5.1. Séreignard.'!AI13+'5.1. Séreignard.'!AJ13+'5.1. Séreignard.'!AK13+'5.1. Séreignard.'!AL13</f>
        <v>106985.26999999999</v>
      </c>
      <c r="Z9" s="8">
        <f>+'4.1. Samtryggingard.'!AE13</f>
        <v>0</v>
      </c>
      <c r="AA9" s="8">
        <f>+'4.1. Samtryggingard.'!AF13</f>
        <v>0</v>
      </c>
      <c r="AB9" s="8">
        <f>+'4.1. Samtryggingard.'!AG13</f>
        <v>0</v>
      </c>
      <c r="AC9" s="8">
        <f>+'4.1. Samtryggingard.'!AH13</f>
        <v>0</v>
      </c>
      <c r="AD9" s="8">
        <f>+'4.1. Samtryggingard.'!AI13+'4.1. Samtryggingard.'!AJ13</f>
        <v>0</v>
      </c>
      <c r="AE9" s="8">
        <f>+'4.1. Samtryggingard.'!AK13+'5.1. Séreignard.'!AM13</f>
        <v>0</v>
      </c>
      <c r="AF9" s="8">
        <f>+'4.1. Samtryggingard.'!AL13</f>
        <v>0</v>
      </c>
      <c r="AG9" s="8">
        <f>+'4.1. Samtryggingard.'!AM13</f>
        <v>0</v>
      </c>
      <c r="AH9" s="8">
        <f>+'4.1. Samtryggingard.'!AN13+'5.1. Séreignard.'!AN13</f>
        <v>0</v>
      </c>
      <c r="AI9" s="8">
        <f>+'4.1. Samtryggingard.'!AO13</f>
        <v>65143</v>
      </c>
      <c r="AJ9" s="8">
        <f>+'4.1. Samtryggingard.'!AP13</f>
        <v>59770</v>
      </c>
      <c r="AK9" s="8">
        <f>+'4.1. Samtryggingard.'!AQ13</f>
        <v>12409</v>
      </c>
      <c r="AL9" s="8">
        <f>+'4.1. Samtryggingard.'!AR13</f>
        <v>0</v>
      </c>
      <c r="AM9" s="8">
        <f>+'4.1. Samtryggingard.'!AS13</f>
        <v>0</v>
      </c>
      <c r="AN9" s="8">
        <f>+'4.1. Samtryggingard.'!AT13</f>
        <v>0</v>
      </c>
      <c r="AO9" s="8">
        <f>+'4.1. Samtryggingard.'!AU13</f>
        <v>0</v>
      </c>
      <c r="AP9" s="8">
        <f>+'4.1. Samtryggingard.'!AV13</f>
        <v>42485</v>
      </c>
      <c r="AQ9" s="8">
        <f>+'4.1. Samtryggingard.'!AW13</f>
        <v>84</v>
      </c>
      <c r="AR9" s="8">
        <f>+'4.1. Samtryggingard.'!AX13</f>
        <v>0</v>
      </c>
      <c r="AS9" s="8">
        <f>+'4.1. Samtryggingard.'!AY13</f>
        <v>26614.98</v>
      </c>
      <c r="AT9" s="8">
        <f>+'4.1. Samtryggingard.'!AZ13</f>
        <v>24164</v>
      </c>
      <c r="AU9" s="8">
        <f>+'4.1. Samtryggingard.'!BA13</f>
        <v>130000</v>
      </c>
      <c r="AV9" s="8">
        <f>+'4.1. Samtryggingard.'!BB13</f>
        <v>0</v>
      </c>
      <c r="AW9" s="8">
        <f>+'4.1. Samtryggingard.'!BC13</f>
        <v>15577</v>
      </c>
      <c r="AX9" s="18"/>
      <c r="AY9" s="18">
        <f>SUM(B9:AW9)</f>
        <v>16331721.25</v>
      </c>
      <c r="AZ9" s="7"/>
    </row>
    <row r="10" spans="1:52" ht="7.5" customHeight="1">
      <c r="A10" s="56"/>
      <c r="C10" s="11"/>
      <c r="D10" s="8"/>
      <c r="E10" s="11"/>
      <c r="F10" s="11"/>
      <c r="M10" s="11"/>
      <c r="N10" s="19"/>
      <c r="Q10" s="11"/>
      <c r="R10" s="135"/>
      <c r="S10" s="11"/>
      <c r="T10" s="11"/>
      <c r="U10" s="11"/>
      <c r="W10" s="135"/>
      <c r="X10" s="11"/>
      <c r="Z10" s="11"/>
      <c r="AB10" s="11"/>
      <c r="AC10" s="19"/>
      <c r="AF10" s="11"/>
      <c r="AG10" s="11"/>
      <c r="AI10" s="50"/>
      <c r="AL10" s="11"/>
      <c r="AN10" s="11"/>
      <c r="AO10" s="11"/>
      <c r="AP10" s="11"/>
      <c r="AQ10" s="11"/>
      <c r="AS10" s="11"/>
      <c r="AT10" s="11"/>
      <c r="AU10" s="11"/>
      <c r="AW10" s="11"/>
      <c r="AX10" s="18"/>
      <c r="AZ10" s="7"/>
    </row>
    <row r="11" spans="1:52" ht="12.75">
      <c r="A11" s="217" t="s">
        <v>269</v>
      </c>
      <c r="B11" s="7">
        <f>SUM(B6:B10)</f>
        <v>24292021</v>
      </c>
      <c r="C11" s="7">
        <f aca="true" t="shared" si="0" ref="C11:L11">SUM(C6:C10)</f>
        <v>8959385</v>
      </c>
      <c r="D11" s="7">
        <f t="shared" si="0"/>
        <v>3769843.3439999996</v>
      </c>
      <c r="E11" s="7">
        <f t="shared" si="0"/>
        <v>1874415</v>
      </c>
      <c r="F11" s="7">
        <f t="shared" si="0"/>
        <v>3383984</v>
      </c>
      <c r="G11" s="7">
        <f t="shared" si="0"/>
        <v>1917149</v>
      </c>
      <c r="H11" s="7">
        <f>SUM(H6:H10)</f>
        <v>3249472</v>
      </c>
      <c r="I11" s="7">
        <f t="shared" si="0"/>
        <v>1647866</v>
      </c>
      <c r="J11" s="7">
        <f t="shared" si="0"/>
        <v>3903409.4069999997</v>
      </c>
      <c r="K11" s="7">
        <f>SUM(K6:K10)</f>
        <v>1671975</v>
      </c>
      <c r="L11" s="7">
        <f t="shared" si="0"/>
        <v>961119</v>
      </c>
      <c r="M11" s="7">
        <f aca="true" t="shared" si="1" ref="M11:AW11">SUM(M6:M10)</f>
        <v>811907</v>
      </c>
      <c r="N11" s="7">
        <f>SUM(N6:N10)</f>
        <v>792982</v>
      </c>
      <c r="O11" s="7">
        <f t="shared" si="1"/>
        <v>1087395</v>
      </c>
      <c r="P11" s="7">
        <f t="shared" si="1"/>
        <v>497158</v>
      </c>
      <c r="Q11" s="7">
        <f t="shared" si="1"/>
        <v>1420535</v>
      </c>
      <c r="R11" s="7">
        <f>SUM(R6:R10)</f>
        <v>1508366</v>
      </c>
      <c r="S11" s="7">
        <f t="shared" si="1"/>
        <v>867436</v>
      </c>
      <c r="T11" s="7">
        <f t="shared" si="1"/>
        <v>469046</v>
      </c>
      <c r="U11" s="7">
        <f t="shared" si="1"/>
        <v>387947</v>
      </c>
      <c r="V11" s="7">
        <f>SUM(V6:V10)</f>
        <v>2458758.2520000003</v>
      </c>
      <c r="W11" s="7">
        <f>SUM(W6:W10)</f>
        <v>555001</v>
      </c>
      <c r="X11" s="7">
        <f t="shared" si="1"/>
        <v>1509513</v>
      </c>
      <c r="Y11" s="7">
        <f>SUM(Y6:Y10)</f>
        <v>1758761.01</v>
      </c>
      <c r="Z11" s="7">
        <f t="shared" si="1"/>
        <v>560821</v>
      </c>
      <c r="AA11" s="7">
        <f t="shared" si="1"/>
        <v>104832.55500000001</v>
      </c>
      <c r="AB11" s="7">
        <f t="shared" si="1"/>
        <v>422806</v>
      </c>
      <c r="AC11" s="7">
        <f t="shared" si="1"/>
        <v>497930</v>
      </c>
      <c r="AD11" s="7">
        <f t="shared" si="1"/>
        <v>-737</v>
      </c>
      <c r="AE11" s="7">
        <f t="shared" si="1"/>
        <v>123877</v>
      </c>
      <c r="AF11" s="7">
        <f t="shared" si="1"/>
        <v>96824</v>
      </c>
      <c r="AG11" s="7">
        <f t="shared" si="1"/>
        <v>0</v>
      </c>
      <c r="AH11" s="7">
        <f>SUM(AH6:AH10)</f>
        <v>93188</v>
      </c>
      <c r="AI11" s="7">
        <f t="shared" si="1"/>
        <v>112461</v>
      </c>
      <c r="AJ11" s="7">
        <f t="shared" si="1"/>
        <v>128676</v>
      </c>
      <c r="AK11" s="7">
        <f t="shared" si="1"/>
        <v>11674</v>
      </c>
      <c r="AL11" s="7">
        <f t="shared" si="1"/>
        <v>131308</v>
      </c>
      <c r="AM11" s="7">
        <f t="shared" si="1"/>
        <v>18183</v>
      </c>
      <c r="AN11" s="7">
        <f t="shared" si="1"/>
        <v>-247.051</v>
      </c>
      <c r="AO11" s="7">
        <f t="shared" si="1"/>
        <v>-804.539</v>
      </c>
      <c r="AP11" s="7">
        <f t="shared" si="1"/>
        <v>77758</v>
      </c>
      <c r="AQ11" s="7">
        <f t="shared" si="1"/>
        <v>84</v>
      </c>
      <c r="AR11" s="7">
        <f t="shared" si="1"/>
        <v>-12</v>
      </c>
      <c r="AS11" s="7">
        <f t="shared" si="1"/>
        <v>33780.948</v>
      </c>
      <c r="AT11" s="7">
        <f t="shared" si="1"/>
        <v>29601</v>
      </c>
      <c r="AU11" s="7">
        <f t="shared" si="1"/>
        <v>130000</v>
      </c>
      <c r="AV11" s="7">
        <f>SUM(AV6:AV10)</f>
        <v>0</v>
      </c>
      <c r="AW11" s="7">
        <f t="shared" si="1"/>
        <v>27252</v>
      </c>
      <c r="AX11" s="18"/>
      <c r="AY11" s="18">
        <f>SUM(B11:AW11)</f>
        <v>72354699.926</v>
      </c>
      <c r="AZ11" s="7"/>
    </row>
    <row r="12" spans="1:52" ht="7.5" customHeight="1">
      <c r="A12" s="15"/>
      <c r="C12" s="11"/>
      <c r="D12" s="8"/>
      <c r="E12" s="11"/>
      <c r="F12" s="11"/>
      <c r="M12" s="11"/>
      <c r="N12" s="19"/>
      <c r="Q12" s="11"/>
      <c r="R12" s="135"/>
      <c r="S12" s="11"/>
      <c r="T12" s="11"/>
      <c r="U12" s="11"/>
      <c r="W12" s="135"/>
      <c r="X12" s="11"/>
      <c r="Z12" s="11"/>
      <c r="AB12" s="11"/>
      <c r="AC12" s="19"/>
      <c r="AF12" s="11"/>
      <c r="AG12" s="11"/>
      <c r="AI12" s="50"/>
      <c r="AL12" s="11"/>
      <c r="AN12" s="11"/>
      <c r="AO12" s="11"/>
      <c r="AP12" s="11"/>
      <c r="AQ12" s="11"/>
      <c r="AS12" s="11"/>
      <c r="AT12" s="11"/>
      <c r="AU12" s="11"/>
      <c r="AW12" s="11"/>
      <c r="AX12" s="18"/>
      <c r="AZ12" s="7"/>
    </row>
    <row r="13" spans="1:52" ht="12.75">
      <c r="A13" s="15" t="s">
        <v>270</v>
      </c>
      <c r="C13" s="11"/>
      <c r="D13" s="8"/>
      <c r="E13" s="11"/>
      <c r="F13" s="11"/>
      <c r="M13" s="11"/>
      <c r="N13" s="19"/>
      <c r="Q13" s="11"/>
      <c r="R13" s="135"/>
      <c r="S13" s="11"/>
      <c r="T13" s="11"/>
      <c r="U13" s="11"/>
      <c r="W13" s="135"/>
      <c r="X13" s="11"/>
      <c r="Z13" s="11"/>
      <c r="AB13" s="11"/>
      <c r="AC13" s="19"/>
      <c r="AF13" s="11"/>
      <c r="AG13" s="11"/>
      <c r="AI13" s="50"/>
      <c r="AL13" s="11"/>
      <c r="AN13" s="11"/>
      <c r="AO13" s="11"/>
      <c r="AP13" s="11"/>
      <c r="AQ13" s="11"/>
      <c r="AS13" s="11"/>
      <c r="AT13" s="11"/>
      <c r="AU13" s="11"/>
      <c r="AW13" s="11"/>
      <c r="AX13" s="18"/>
      <c r="AZ13" s="7"/>
    </row>
    <row r="14" spans="1:52" ht="12.75">
      <c r="A14" s="17" t="s">
        <v>271</v>
      </c>
      <c r="B14" s="8">
        <f>+'4.1. Samtryggingard.'!B17+'4.1. Samtryggingard.'!C17+'5.1. Séreignard.'!B17+'5.1. Séreignard.'!C17+'5.1. Séreignard.'!D17</f>
        <v>11172777</v>
      </c>
      <c r="C14" s="8">
        <f>+'4.1. Samtryggingard.'!D17+'5.1. Séreignard.'!E17</f>
        <v>2645134</v>
      </c>
      <c r="D14" s="8">
        <f>+'4.1. Samtryggingard.'!E17+'5.1. Séreignard.'!F17+'5.1. Séreignard.'!G17</f>
        <v>2293407.2320000003</v>
      </c>
      <c r="E14" s="79">
        <f>+'4.1. Samtryggingard.'!F17+'5.1. Séreignard.'!H17+'5.1. Séreignard.'!I17+'5.1. Séreignard.'!J17</f>
        <v>1403902</v>
      </c>
      <c r="F14" s="79">
        <f>+'4.1. Samtryggingard.'!G17+'4.1. Samtryggingard.'!H17+'5.1. Séreignard.'!K17+'5.1. Séreignard.'!L17</f>
        <v>1717371</v>
      </c>
      <c r="G14" s="18">
        <f>+'4.1. Samtryggingard.'!I17+'5.1. Séreignard.'!M17+'5.1. Séreignard.'!N17</f>
        <v>1147055</v>
      </c>
      <c r="H14" s="8">
        <f>+'4.1. Samtryggingard.'!J17+'5.1. Séreignard.'!O17+'5.1. Séreignard.'!P17+'5.1. Séreignard.'!Q17</f>
        <v>354030.4</v>
      </c>
      <c r="I14" s="8">
        <f>+'4.1. Samtryggingard.'!K17+'5.1. Séreignard.'!R17</f>
        <v>358262</v>
      </c>
      <c r="J14" s="8">
        <f>+'4.1. Samtryggingard.'!L17+'5.1. Séreignard.'!S17+'5.1. Séreignard.'!T17+'5.1. Séreignard.'!U17+'5.1. Séreignard.'!V17</f>
        <v>237838.373</v>
      </c>
      <c r="K14" s="8">
        <f>+'4.1. Samtryggingard.'!M17+'5.1. Séreignard.'!W17+'5.1. Séreignard.'!X17</f>
        <v>304400</v>
      </c>
      <c r="L14" s="8">
        <f>+'4.1. Samtryggingard.'!N17+'4.1. Samtryggingard.'!O17</f>
        <v>734652</v>
      </c>
      <c r="M14" s="8">
        <f>+'4.1. Samtryggingard.'!P17+'4.1. Samtryggingard.'!Q17+'5.1. Séreignard.'!Y17</f>
        <v>910509</v>
      </c>
      <c r="N14" s="79">
        <f>+'4.1. Samtryggingard.'!R17</f>
        <v>383300</v>
      </c>
      <c r="O14" s="8">
        <f>+'4.1. Samtryggingard.'!S17+'5.1. Séreignard.'!Z17</f>
        <v>449842</v>
      </c>
      <c r="P14" s="8">
        <f>+'4.1. Samtryggingard.'!T17+'5.1. Séreignard.'!AA17</f>
        <v>405756</v>
      </c>
      <c r="Q14" s="79">
        <f>+'4.1. Samtryggingard.'!U17+'5.1. Séreignard.'!AB17</f>
        <v>178319</v>
      </c>
      <c r="R14" s="135">
        <f>+'4.1. Samtryggingard.'!V17</f>
        <v>743689</v>
      </c>
      <c r="S14" s="79">
        <f>+'4.1. Samtryggingard.'!W17</f>
        <v>556905</v>
      </c>
      <c r="T14" s="79">
        <f>+'4.1. Samtryggingard.'!X17+'5.1. Séreignard.'!AC17+'5.1. Séreignard.'!AD17</f>
        <v>345494</v>
      </c>
      <c r="U14" s="79">
        <f>+'4.1. Samtryggingard.'!Y17</f>
        <v>671733</v>
      </c>
      <c r="V14" s="8">
        <f>+'4.1. Samtryggingard.'!Z17+'4.1. Samtryggingard.'!AA17+'5.1. Séreignard.'!AE17+'5.1. Séreignard.'!AF17+'5.1. Séreignard.'!AG17</f>
        <v>89392.766</v>
      </c>
      <c r="W14" s="135">
        <f>+'4.1. Samtryggingard.'!AB17+'5.1. Séreignard.'!AH17</f>
        <v>329359</v>
      </c>
      <c r="X14" s="79">
        <f>+'4.1. Samtryggingard.'!AC17</f>
        <v>1355574</v>
      </c>
      <c r="Y14" s="8">
        <f>+'4.1. Samtryggingard.'!AD17+'5.1. Séreignard.'!AI17+'5.1. Séreignard.'!AJ17+'5.1. Séreignard.'!AK17+'5.1. Séreignard.'!AL17</f>
        <v>97874.899</v>
      </c>
      <c r="Z14" s="79">
        <f>+'4.1. Samtryggingard.'!AE17</f>
        <v>317399</v>
      </c>
      <c r="AA14" s="8">
        <f>+'4.1. Samtryggingard.'!AF17</f>
        <v>289943.646</v>
      </c>
      <c r="AB14" s="8">
        <f>+'4.1. Samtryggingard.'!AG17</f>
        <v>207042</v>
      </c>
      <c r="AC14" s="8">
        <f>+'4.1. Samtryggingard.'!AH17</f>
        <v>111190</v>
      </c>
      <c r="AD14" s="8">
        <f>+'4.1. Samtryggingard.'!AI17+'4.1. Samtryggingard.'!AJ17</f>
        <v>150908</v>
      </c>
      <c r="AE14" s="8">
        <f>+'4.1. Samtryggingard.'!AK17+'5.1. Séreignard.'!AM17</f>
        <v>70974</v>
      </c>
      <c r="AF14" s="8">
        <f>+'4.1. Samtryggingard.'!AL17</f>
        <v>58739</v>
      </c>
      <c r="AG14" s="8">
        <f>+'4.1. Samtryggingard.'!AM17</f>
        <v>103385</v>
      </c>
      <c r="AH14" s="8">
        <f>+'4.1. Samtryggingard.'!AN17+'5.1. Séreignard.'!AN17</f>
        <v>38381</v>
      </c>
      <c r="AI14" s="8">
        <f>+'4.1. Samtryggingard.'!AO17</f>
        <v>118439</v>
      </c>
      <c r="AJ14" s="8">
        <f>+'4.1. Samtryggingard.'!AP17</f>
        <v>122499</v>
      </c>
      <c r="AK14" s="8">
        <f>+'4.1. Samtryggingard.'!AQ17</f>
        <v>75638</v>
      </c>
      <c r="AL14" s="8">
        <f>+'4.1. Samtryggingard.'!AR17</f>
        <v>180957</v>
      </c>
      <c r="AM14" s="8">
        <f>+'4.1. Samtryggingard.'!AS17</f>
        <v>111446</v>
      </c>
      <c r="AN14" s="8">
        <f>+'4.1. Samtryggingard.'!AT17</f>
        <v>39931.464</v>
      </c>
      <c r="AO14" s="8">
        <f>+'4.1. Samtryggingard.'!AU17</f>
        <v>38883.086</v>
      </c>
      <c r="AP14" s="8">
        <f>+'4.1. Samtryggingard.'!AV17</f>
        <v>78417</v>
      </c>
      <c r="AQ14" s="8">
        <f>+'4.1. Samtryggingard.'!AW17</f>
        <v>37903</v>
      </c>
      <c r="AR14" s="8">
        <f>+'4.1. Samtryggingard.'!AX17</f>
        <v>38926</v>
      </c>
      <c r="AS14" s="8">
        <f>+'4.1. Samtryggingard.'!AY17</f>
        <v>40044.483</v>
      </c>
      <c r="AT14" s="8">
        <f>+'4.1. Samtryggingard.'!AZ17</f>
        <v>35020</v>
      </c>
      <c r="AU14" s="8">
        <f>+'4.1. Samtryggingard.'!BA17</f>
        <v>143765</v>
      </c>
      <c r="AV14" s="8">
        <f>+'4.1. Samtryggingard.'!BB17</f>
        <v>797</v>
      </c>
      <c r="AW14" s="8">
        <f>+'4.1. Samtryggingard.'!BC17</f>
        <v>56222</v>
      </c>
      <c r="AX14" s="18"/>
      <c r="AY14" s="18">
        <f>SUM(B14:AW14)</f>
        <v>31353426.349</v>
      </c>
      <c r="AZ14" s="7"/>
    </row>
    <row r="15" spans="1:52" ht="12.75">
      <c r="A15" s="17" t="s">
        <v>272</v>
      </c>
      <c r="B15" s="8">
        <f>+'4.1. Samtryggingard.'!B18+'4.1. Samtryggingard.'!C18+'5.1. Séreignard.'!B18+'5.1. Séreignard.'!C18+'5.1. Séreignard.'!D18</f>
        <v>0</v>
      </c>
      <c r="C15" s="8">
        <f>+'4.1. Samtryggingard.'!D18+'5.1. Séreignard.'!E18</f>
        <v>-2262</v>
      </c>
      <c r="D15" s="8">
        <f>+'4.1. Samtryggingard.'!E18+'5.1. Séreignard.'!F18+'5.1. Séreignard.'!G18</f>
        <v>-34385.4</v>
      </c>
      <c r="E15" s="79">
        <f>+'4.1. Samtryggingard.'!F18+'5.1. Séreignard.'!H18+'5.1. Séreignard.'!I18+'5.1. Séreignard.'!J18</f>
        <v>-599</v>
      </c>
      <c r="F15" s="79">
        <f>+'4.1. Samtryggingard.'!G18+'4.1. Samtryggingard.'!H18+'5.1. Séreignard.'!K18+'5.1. Séreignard.'!L18</f>
        <v>-11573</v>
      </c>
      <c r="G15" s="18">
        <f>+'4.1. Samtryggingard.'!I18+'5.1. Séreignard.'!M18+'5.1. Séreignard.'!N18</f>
        <v>-13825</v>
      </c>
      <c r="H15" s="8">
        <f>+'4.1. Samtryggingard.'!J18+'5.1. Séreignard.'!O18+'5.1. Séreignard.'!P18+'5.1. Séreignard.'!Q18</f>
        <v>0</v>
      </c>
      <c r="I15" s="8">
        <f>+'4.1. Samtryggingard.'!K18+'5.1. Séreignard.'!R18</f>
        <v>0</v>
      </c>
      <c r="J15" s="8">
        <f>+'4.1. Samtryggingard.'!L18+'5.1. Séreignard.'!S18+'5.1. Séreignard.'!T18+'5.1. Séreignard.'!U18+'5.1. Séreignard.'!V18</f>
        <v>0</v>
      </c>
      <c r="K15" s="8">
        <f>+'4.1. Samtryggingard.'!M18+'5.1. Séreignard.'!W18+'5.1. Séreignard.'!X18</f>
        <v>-376</v>
      </c>
      <c r="L15" s="8">
        <f>+'4.1. Samtryggingard.'!N18+'4.1. Samtryggingard.'!O18</f>
        <v>0</v>
      </c>
      <c r="M15" s="8">
        <f>+'4.1. Samtryggingard.'!P18+'4.1. Samtryggingard.'!Q18+'5.1. Séreignard.'!Y18</f>
        <v>-5468</v>
      </c>
      <c r="N15" s="79">
        <f>+'4.1. Samtryggingard.'!R18</f>
        <v>0</v>
      </c>
      <c r="O15" s="8">
        <f>+'4.1. Samtryggingard.'!S18+'5.1. Séreignard.'!Z18</f>
        <v>-3838</v>
      </c>
      <c r="P15" s="8">
        <f>+'4.1. Samtryggingard.'!T18+'5.1. Séreignard.'!AA18</f>
        <v>-4777.657</v>
      </c>
      <c r="Q15" s="79">
        <f>+'4.1. Samtryggingard.'!U18+'5.1. Séreignard.'!AB18</f>
        <v>0</v>
      </c>
      <c r="R15" s="135">
        <f>+'4.1. Samtryggingard.'!V18</f>
        <v>0</v>
      </c>
      <c r="S15" s="79">
        <f>+'4.1. Samtryggingard.'!W18</f>
        <v>-6304</v>
      </c>
      <c r="T15" s="79">
        <f>+'4.1. Samtryggingard.'!X18+'5.1. Séreignard.'!AC18+'5.1. Séreignard.'!AD18</f>
        <v>-2200</v>
      </c>
      <c r="U15" s="79">
        <f>+'4.1. Samtryggingard.'!Y18</f>
        <v>-57464</v>
      </c>
      <c r="V15" s="8">
        <f>+'4.1. Samtryggingard.'!Z18+'4.1. Samtryggingard.'!AA18+'5.1. Séreignard.'!AE18+'5.1. Séreignard.'!AF18+'5.1. Séreignard.'!AG18</f>
        <v>0</v>
      </c>
      <c r="W15" s="135">
        <f>+'4.1. Samtryggingard.'!AB18+'5.1. Séreignard.'!AH18</f>
        <v>-5373</v>
      </c>
      <c r="X15" s="79">
        <f>+'4.1. Samtryggingard.'!AC18</f>
        <v>0</v>
      </c>
      <c r="Y15" s="8">
        <f>+'4.1. Samtryggingard.'!AD18+'5.1. Séreignard.'!AI18+'5.1. Séreignard.'!AJ18+'5.1. Séreignard.'!AK18+'5.1. Séreignard.'!AL18</f>
        <v>0</v>
      </c>
      <c r="Z15" s="79">
        <f>+'4.1. Samtryggingard.'!AE18</f>
        <v>0</v>
      </c>
      <c r="AA15" s="8">
        <f>+'4.1. Samtryggingard.'!AF18</f>
        <v>0</v>
      </c>
      <c r="AB15" s="8">
        <f>+'4.1. Samtryggingard.'!AG18</f>
        <v>-1981</v>
      </c>
      <c r="AC15" s="8">
        <f>+'4.1. Samtryggingard.'!AH18</f>
        <v>0</v>
      </c>
      <c r="AD15" s="8">
        <f>+'4.1. Samtryggingard.'!AI18+'4.1. Samtryggingard.'!AJ18</f>
        <v>0</v>
      </c>
      <c r="AE15" s="8">
        <f>+'4.1. Samtryggingard.'!AK18+'5.1. Séreignard.'!AM18</f>
        <v>-189</v>
      </c>
      <c r="AF15" s="8">
        <f>+'4.1. Samtryggingard.'!AL18</f>
        <v>-765</v>
      </c>
      <c r="AG15" s="8">
        <f>+'4.1. Samtryggingard.'!AM18</f>
        <v>0</v>
      </c>
      <c r="AH15" s="8">
        <f>+'4.1. Samtryggingard.'!AN18+'5.1. Séreignard.'!AN18</f>
        <v>0</v>
      </c>
      <c r="AI15" s="8">
        <f>+'4.1. Samtryggingard.'!AO18</f>
        <v>0</v>
      </c>
      <c r="AJ15" s="8">
        <f>+'4.1. Samtryggingard.'!AP18</f>
        <v>0</v>
      </c>
      <c r="AK15" s="8">
        <f>+'4.1. Samtryggingard.'!AQ18</f>
        <v>-268</v>
      </c>
      <c r="AL15" s="8">
        <f>+'4.1. Samtryggingard.'!AR18</f>
        <v>0</v>
      </c>
      <c r="AM15" s="8">
        <f>+'4.1. Samtryggingard.'!AS18</f>
        <v>-41358</v>
      </c>
      <c r="AN15" s="8">
        <f>+'4.1. Samtryggingard.'!AT18</f>
        <v>0</v>
      </c>
      <c r="AO15" s="8">
        <f>+'4.1. Samtryggingard.'!AU18</f>
        <v>-470.186</v>
      </c>
      <c r="AP15" s="8">
        <f>+'4.1. Samtryggingard.'!AV18</f>
        <v>0</v>
      </c>
      <c r="AQ15" s="8">
        <f>+'4.1. Samtryggingard.'!AW18</f>
        <v>-975</v>
      </c>
      <c r="AR15" s="8">
        <f>+'4.1. Samtryggingard.'!AX18</f>
        <v>0</v>
      </c>
      <c r="AS15" s="8">
        <f>+'4.1. Samtryggingard.'!AY18</f>
        <v>0</v>
      </c>
      <c r="AT15" s="8">
        <f>+'4.1. Samtryggingard.'!AZ18</f>
        <v>0</v>
      </c>
      <c r="AU15" s="8">
        <f>+'4.1. Samtryggingard.'!BA18</f>
        <v>0</v>
      </c>
      <c r="AV15" s="8">
        <f>+'4.1. Samtryggingard.'!BB18</f>
        <v>0</v>
      </c>
      <c r="AW15" s="8">
        <f>+'4.1. Samtryggingard.'!BC18</f>
        <v>0</v>
      </c>
      <c r="AX15" s="18"/>
      <c r="AY15" s="18">
        <f>SUM(B15:AW15)</f>
        <v>-194451.243</v>
      </c>
      <c r="AZ15" s="7"/>
    </row>
    <row r="16" spans="1:52" ht="12.75">
      <c r="A16" s="17" t="s">
        <v>273</v>
      </c>
      <c r="B16" s="8">
        <f>+'4.1. Samtryggingard.'!B19+'4.1. Samtryggingard.'!C19+'5.1. Séreignard.'!B19+'5.1. Séreignard.'!C19+'5.1. Séreignard.'!D19</f>
        <v>1436</v>
      </c>
      <c r="C16" s="8">
        <f>+'4.1. Samtryggingard.'!D19+'5.1. Séreignard.'!E19</f>
        <v>1917</v>
      </c>
      <c r="D16" s="8">
        <f>+'4.1. Samtryggingard.'!E19+'5.1. Séreignard.'!F19+'5.1. Séreignard.'!G19</f>
        <v>12631.78</v>
      </c>
      <c r="E16" s="79">
        <f>+'4.1. Samtryggingard.'!F19+'5.1. Séreignard.'!H19+'5.1. Séreignard.'!I19+'5.1. Séreignard.'!J19</f>
        <v>2475</v>
      </c>
      <c r="F16" s="79">
        <f>+'4.1. Samtryggingard.'!G19+'4.1. Samtryggingard.'!H19+'5.1. Séreignard.'!K19+'5.1. Séreignard.'!L19</f>
        <v>1601</v>
      </c>
      <c r="G16" s="18">
        <f>+'4.1. Samtryggingard.'!I19+'5.1. Séreignard.'!M19+'5.1. Séreignard.'!N19</f>
        <v>4113</v>
      </c>
      <c r="H16" s="8">
        <f>+'4.1. Samtryggingard.'!J19+'5.1. Séreignard.'!O19+'5.1. Séreignard.'!P19+'5.1. Séreignard.'!Q19</f>
        <v>0</v>
      </c>
      <c r="I16" s="8">
        <f>+'4.1. Samtryggingard.'!K19+'5.1. Séreignard.'!R19</f>
        <v>122</v>
      </c>
      <c r="J16" s="8">
        <f>+'4.1. Samtryggingard.'!L19+'5.1. Séreignard.'!S19+'5.1. Séreignard.'!T19+'5.1. Séreignard.'!U19+'5.1. Séreignard.'!V19</f>
        <v>0</v>
      </c>
      <c r="K16" s="8">
        <f>+'4.1. Samtryggingard.'!M19+'5.1. Séreignard.'!W19+'5.1. Séreignard.'!X19</f>
        <v>1175</v>
      </c>
      <c r="L16" s="8">
        <f>+'4.1. Samtryggingard.'!N19+'4.1. Samtryggingard.'!O19</f>
        <v>0</v>
      </c>
      <c r="M16" s="8">
        <f>+'4.1. Samtryggingard.'!P19+'4.1. Samtryggingard.'!Q19+'5.1. Séreignard.'!Y19</f>
        <v>441</v>
      </c>
      <c r="N16" s="79">
        <f>+'4.1. Samtryggingard.'!R19</f>
        <v>0</v>
      </c>
      <c r="O16" s="8">
        <f>+'4.1. Samtryggingard.'!S19+'5.1. Séreignard.'!Z19</f>
        <v>0</v>
      </c>
      <c r="P16" s="8">
        <f>+'4.1. Samtryggingard.'!T19+'5.1. Séreignard.'!AA19</f>
        <v>3530.199</v>
      </c>
      <c r="Q16" s="79">
        <f>+'4.1. Samtryggingard.'!U19+'5.1. Séreignard.'!AB19</f>
        <v>93</v>
      </c>
      <c r="R16" s="135">
        <f>+'4.1. Samtryggingard.'!V19</f>
        <v>19</v>
      </c>
      <c r="S16" s="79">
        <f>+'4.1. Samtryggingard.'!W19</f>
        <v>1145</v>
      </c>
      <c r="T16" s="79">
        <f>+'4.1. Samtryggingard.'!X19+'5.1. Séreignard.'!AC19+'5.1. Séreignard.'!AD19</f>
        <v>29</v>
      </c>
      <c r="U16" s="79">
        <f>+'4.1. Samtryggingard.'!Y19</f>
        <v>455</v>
      </c>
      <c r="V16" s="8">
        <f>+'4.1. Samtryggingard.'!Z19+'4.1. Samtryggingard.'!AA19+'5.1. Séreignard.'!AE19+'5.1. Séreignard.'!AF19+'5.1. Séreignard.'!AG19</f>
        <v>77.751</v>
      </c>
      <c r="W16" s="135">
        <f>+'4.1. Samtryggingard.'!AB19+'5.1. Séreignard.'!AH19</f>
        <v>820</v>
      </c>
      <c r="X16" s="79">
        <f>+'4.1. Samtryggingard.'!AC19</f>
        <v>0</v>
      </c>
      <c r="Y16" s="8">
        <f>+'4.1. Samtryggingard.'!AD19+'5.1. Séreignard.'!AI19+'5.1. Séreignard.'!AJ19+'5.1. Séreignard.'!AK19+'5.1. Séreignard.'!AL19</f>
        <v>0</v>
      </c>
      <c r="Z16" s="79">
        <f>+'4.1. Samtryggingard.'!AE19</f>
        <v>416</v>
      </c>
      <c r="AA16" s="8">
        <f>+'4.1. Samtryggingard.'!AF19</f>
        <v>0</v>
      </c>
      <c r="AB16" s="8">
        <f>+'4.1. Samtryggingard.'!AG19</f>
        <v>0</v>
      </c>
      <c r="AC16" s="8">
        <f>+'4.1. Samtryggingard.'!AH19</f>
        <v>0</v>
      </c>
      <c r="AD16" s="8">
        <f>+'4.1. Samtryggingard.'!AI19+'4.1. Samtryggingard.'!AJ19</f>
        <v>0</v>
      </c>
      <c r="AE16" s="8">
        <f>+'4.1. Samtryggingard.'!AK19+'5.1. Séreignard.'!AM19</f>
        <v>79</v>
      </c>
      <c r="AF16" s="8">
        <f>+'4.1. Samtryggingard.'!AL19</f>
        <v>0</v>
      </c>
      <c r="AG16" s="8">
        <f>+'4.1. Samtryggingard.'!AM19</f>
        <v>0</v>
      </c>
      <c r="AH16" s="8">
        <f>+'4.1. Samtryggingard.'!AN19+'5.1. Séreignard.'!AN19</f>
        <v>393</v>
      </c>
      <c r="AI16" s="8">
        <f>+'4.1. Samtryggingard.'!AO19</f>
        <v>0</v>
      </c>
      <c r="AJ16" s="8">
        <f>+'4.1. Samtryggingard.'!AP19</f>
        <v>65</v>
      </c>
      <c r="AK16" s="8">
        <f>+'4.1. Samtryggingard.'!AQ19</f>
        <v>0</v>
      </c>
      <c r="AL16" s="8">
        <f>+'4.1. Samtryggingard.'!AR19</f>
        <v>0</v>
      </c>
      <c r="AM16" s="8">
        <f>+'4.1. Samtryggingard.'!AS19</f>
        <v>0</v>
      </c>
      <c r="AN16" s="8">
        <f>+'4.1. Samtryggingard.'!AT19</f>
        <v>0</v>
      </c>
      <c r="AO16" s="8">
        <f>+'4.1. Samtryggingard.'!AU19</f>
        <v>0</v>
      </c>
      <c r="AP16" s="8">
        <f>+'4.1. Samtryggingard.'!AV19</f>
        <v>0</v>
      </c>
      <c r="AQ16" s="8">
        <f>+'4.1. Samtryggingard.'!AW19</f>
        <v>0</v>
      </c>
      <c r="AR16" s="8">
        <f>+'4.1. Samtryggingard.'!AX19</f>
        <v>0</v>
      </c>
      <c r="AS16" s="8">
        <f>+'4.1. Samtryggingard.'!AY19</f>
        <v>0</v>
      </c>
      <c r="AT16" s="8">
        <f>+'4.1. Samtryggingard.'!AZ19</f>
        <v>0</v>
      </c>
      <c r="AU16" s="8">
        <f>+'4.1. Samtryggingard.'!BA19</f>
        <v>0</v>
      </c>
      <c r="AV16" s="8">
        <f>+'4.1. Samtryggingard.'!BB19</f>
        <v>0</v>
      </c>
      <c r="AW16" s="8">
        <f>+'4.1. Samtryggingard.'!BC19</f>
        <v>0</v>
      </c>
      <c r="AX16" s="18"/>
      <c r="AY16" s="18">
        <f>SUM(B16:AW16)</f>
        <v>33033.729999999996</v>
      </c>
      <c r="AZ16" s="7"/>
    </row>
    <row r="17" spans="1:52" ht="12.75">
      <c r="A17" s="17" t="s">
        <v>274</v>
      </c>
      <c r="B17" s="8">
        <f>+'4.1. Samtryggingard.'!B20+'4.1. Samtryggingard.'!C20+'5.1. Séreignard.'!B20+'5.1. Séreignard.'!C20+'5.1. Séreignard.'!D20</f>
        <v>0</v>
      </c>
      <c r="C17" s="8">
        <f>+'4.1. Samtryggingard.'!D20+'5.1. Séreignard.'!E20</f>
        <v>0</v>
      </c>
      <c r="D17" s="8">
        <f>+'4.1. Samtryggingard.'!E20+'5.1. Séreignard.'!F20+'5.1. Séreignard.'!G20</f>
        <v>0</v>
      </c>
      <c r="E17" s="79">
        <f>+'4.1. Samtryggingard.'!F20+'5.1. Séreignard.'!H20+'5.1. Séreignard.'!I20+'5.1. Séreignard.'!J20</f>
        <v>0</v>
      </c>
      <c r="F17" s="79">
        <f>+'4.1. Samtryggingard.'!G20+'4.1. Samtryggingard.'!H20+'5.1. Séreignard.'!K20+'5.1. Séreignard.'!L20</f>
        <v>0</v>
      </c>
      <c r="G17" s="18">
        <f>+'4.1. Samtryggingard.'!I20+'5.1. Séreignard.'!M20+'5.1. Séreignard.'!N20</f>
        <v>0</v>
      </c>
      <c r="H17" s="8">
        <f>+'4.1. Samtryggingard.'!J20+'5.1. Séreignard.'!O20+'5.1. Séreignard.'!P20+'5.1. Séreignard.'!Q20</f>
        <v>0</v>
      </c>
      <c r="I17" s="8">
        <f>+'4.1. Samtryggingard.'!K20+'5.1. Séreignard.'!R20</f>
        <v>0</v>
      </c>
      <c r="J17" s="8">
        <f>+'4.1. Samtryggingard.'!L20+'5.1. Séreignard.'!S20+'5.1. Séreignard.'!T20+'5.1. Séreignard.'!U20+'5.1. Séreignard.'!V20</f>
        <v>0</v>
      </c>
      <c r="K17" s="8">
        <f>+'4.1. Samtryggingard.'!M20+'5.1. Séreignard.'!W20+'5.1. Séreignard.'!X20</f>
        <v>0</v>
      </c>
      <c r="L17" s="8">
        <f>+'4.1. Samtryggingard.'!N20+'4.1. Samtryggingard.'!O20</f>
        <v>0</v>
      </c>
      <c r="M17" s="8">
        <f>+'4.1. Samtryggingard.'!P20+'4.1. Samtryggingard.'!Q20+'5.1. Séreignard.'!Y20</f>
        <v>0</v>
      </c>
      <c r="N17" s="79">
        <f>+'4.1. Samtryggingard.'!R20</f>
        <v>0</v>
      </c>
      <c r="O17" s="8">
        <f>+'4.1. Samtryggingard.'!S20+'5.1. Séreignard.'!Z20</f>
        <v>0</v>
      </c>
      <c r="P17" s="8">
        <f>+'4.1. Samtryggingard.'!T20+'5.1. Séreignard.'!AA20</f>
        <v>0</v>
      </c>
      <c r="Q17" s="79">
        <f>+'4.1. Samtryggingard.'!U20+'5.1. Séreignard.'!AB20</f>
        <v>0</v>
      </c>
      <c r="R17" s="135">
        <f>+'4.1. Samtryggingard.'!V20</f>
        <v>0</v>
      </c>
      <c r="S17" s="79">
        <f>+'4.1. Samtryggingard.'!W20</f>
        <v>0</v>
      </c>
      <c r="T17" s="79">
        <f>+'4.1. Samtryggingard.'!X20+'5.1. Séreignard.'!AC20+'5.1. Séreignard.'!AD20</f>
        <v>0</v>
      </c>
      <c r="U17" s="79">
        <f>+'4.1. Samtryggingard.'!Y20</f>
        <v>0</v>
      </c>
      <c r="V17" s="8">
        <f>+'4.1. Samtryggingard.'!Z20+'4.1. Samtryggingard.'!AA20+'5.1. Séreignard.'!AE20+'5.1. Séreignard.'!AF20+'5.1. Séreignard.'!AG20</f>
        <v>0</v>
      </c>
      <c r="W17" s="135">
        <f>+'4.1. Samtryggingard.'!AB20+'5.1. Séreignard.'!AH20</f>
        <v>0</v>
      </c>
      <c r="X17" s="79">
        <f>+'4.1. Samtryggingard.'!AC20</f>
        <v>0</v>
      </c>
      <c r="Y17" s="8">
        <f>+'4.1. Samtryggingard.'!AD20+'5.1. Séreignard.'!AI20+'5.1. Séreignard.'!AJ20+'5.1. Séreignard.'!AK20+'5.1. Séreignard.'!AL20</f>
        <v>1511.807</v>
      </c>
      <c r="Z17" s="79">
        <f>+'4.1. Samtryggingard.'!AE20</f>
        <v>0</v>
      </c>
      <c r="AA17" s="8">
        <f>+'4.1. Samtryggingard.'!AF20</f>
        <v>0</v>
      </c>
      <c r="AB17" s="8">
        <f>+'4.1. Samtryggingard.'!AG20</f>
        <v>0</v>
      </c>
      <c r="AC17" s="8">
        <f>+'4.1. Samtryggingard.'!AH20</f>
        <v>0</v>
      </c>
      <c r="AD17" s="8">
        <f>+'4.1. Samtryggingard.'!AI20+'4.1. Samtryggingard.'!AJ20</f>
        <v>0</v>
      </c>
      <c r="AE17" s="8">
        <f>+'4.1. Samtryggingard.'!AK20+'5.1. Séreignard.'!AM20</f>
        <v>0</v>
      </c>
      <c r="AF17" s="8">
        <f>+'4.1. Samtryggingard.'!AL20</f>
        <v>0</v>
      </c>
      <c r="AG17" s="8">
        <f>+'4.1. Samtryggingard.'!AM20</f>
        <v>0</v>
      </c>
      <c r="AH17" s="8">
        <f>+'4.1. Samtryggingard.'!AN20+'5.1. Séreignard.'!AN20</f>
        <v>-604</v>
      </c>
      <c r="AI17" s="8">
        <f>+'4.1. Samtryggingard.'!AO20</f>
        <v>0</v>
      </c>
      <c r="AJ17" s="8">
        <f>+'4.1. Samtryggingard.'!AP20</f>
        <v>0</v>
      </c>
      <c r="AK17" s="8">
        <f>+'4.1. Samtryggingard.'!AQ20</f>
        <v>0</v>
      </c>
      <c r="AL17" s="8">
        <f>+'4.1. Samtryggingard.'!AR20</f>
        <v>0</v>
      </c>
      <c r="AM17" s="8">
        <f>+'4.1. Samtryggingard.'!AS20</f>
        <v>0</v>
      </c>
      <c r="AN17" s="8">
        <f>+'4.1. Samtryggingard.'!AT20</f>
        <v>0</v>
      </c>
      <c r="AO17" s="8">
        <f>+'4.1. Samtryggingard.'!AU20</f>
        <v>0</v>
      </c>
      <c r="AP17" s="8">
        <f>+'4.1. Samtryggingard.'!AV20</f>
        <v>0</v>
      </c>
      <c r="AQ17" s="8">
        <f>+'4.1. Samtryggingard.'!AW20</f>
        <v>0</v>
      </c>
      <c r="AR17" s="8">
        <f>+'4.1. Samtryggingard.'!AX20</f>
        <v>0</v>
      </c>
      <c r="AS17" s="8">
        <f>+'4.1. Samtryggingard.'!AY20</f>
        <v>0</v>
      </c>
      <c r="AT17" s="8">
        <f>+'4.1. Samtryggingard.'!AZ20</f>
        <v>0</v>
      </c>
      <c r="AU17" s="8">
        <f>+'4.1. Samtryggingard.'!BA20</f>
        <v>0</v>
      </c>
      <c r="AV17" s="8">
        <f>+'4.1. Samtryggingard.'!BB20</f>
        <v>0</v>
      </c>
      <c r="AW17" s="8">
        <f>+'4.1. Samtryggingard.'!BC20</f>
        <v>0</v>
      </c>
      <c r="AX17" s="18"/>
      <c r="AY17" s="18">
        <f>SUM(B17:AW17)</f>
        <v>907.807</v>
      </c>
      <c r="AZ17" s="7"/>
    </row>
    <row r="18" spans="1:52" ht="5.25" customHeight="1">
      <c r="A18" s="56"/>
      <c r="C18" s="11"/>
      <c r="D18" s="8"/>
      <c r="E18" s="11"/>
      <c r="F18" s="11"/>
      <c r="G18" s="8"/>
      <c r="H18" s="8"/>
      <c r="L18" s="8"/>
      <c r="M18" s="11"/>
      <c r="N18" s="19"/>
      <c r="Q18" s="11"/>
      <c r="R18" s="135"/>
      <c r="S18" s="11"/>
      <c r="T18" s="11"/>
      <c r="U18" s="11"/>
      <c r="W18" s="135"/>
      <c r="X18" s="79"/>
      <c r="Z18" s="11"/>
      <c r="AB18" s="11"/>
      <c r="AC18" s="19"/>
      <c r="AF18" s="11"/>
      <c r="AG18" s="11"/>
      <c r="AI18" s="50"/>
      <c r="AL18" s="11"/>
      <c r="AN18" s="11"/>
      <c r="AO18" s="11"/>
      <c r="AP18" s="11"/>
      <c r="AS18" s="11"/>
      <c r="AT18" s="11"/>
      <c r="AU18" s="11"/>
      <c r="AW18" s="11"/>
      <c r="AX18" s="18"/>
      <c r="AZ18" s="7"/>
    </row>
    <row r="19" spans="1:52" ht="12.75">
      <c r="A19" s="217" t="s">
        <v>275</v>
      </c>
      <c r="B19" s="7">
        <f>SUM(B14:B18)</f>
        <v>11174213</v>
      </c>
      <c r="C19" s="7">
        <f aca="true" t="shared" si="2" ref="C19:AW19">SUM(C14:C18)</f>
        <v>2644789</v>
      </c>
      <c r="D19" s="7">
        <f t="shared" si="2"/>
        <v>2271653.612</v>
      </c>
      <c r="E19" s="7">
        <f t="shared" si="2"/>
        <v>1405778</v>
      </c>
      <c r="F19" s="7">
        <f t="shared" si="2"/>
        <v>1707399</v>
      </c>
      <c r="G19" s="7">
        <f t="shared" si="2"/>
        <v>1137343</v>
      </c>
      <c r="H19" s="7">
        <f>SUM(H14:H18)</f>
        <v>354030.4</v>
      </c>
      <c r="I19" s="7">
        <f t="shared" si="2"/>
        <v>358384</v>
      </c>
      <c r="J19" s="7">
        <f t="shared" si="2"/>
        <v>237838.373</v>
      </c>
      <c r="K19" s="7">
        <f t="shared" si="2"/>
        <v>305199</v>
      </c>
      <c r="L19" s="7">
        <f t="shared" si="2"/>
        <v>734652</v>
      </c>
      <c r="M19" s="7">
        <f t="shared" si="2"/>
        <v>905482</v>
      </c>
      <c r="N19" s="7">
        <f>SUM(N14:N18)</f>
        <v>383300</v>
      </c>
      <c r="O19" s="7">
        <f t="shared" si="2"/>
        <v>446004</v>
      </c>
      <c r="P19" s="7">
        <f t="shared" si="2"/>
        <v>404508.542</v>
      </c>
      <c r="Q19" s="7">
        <f t="shared" si="2"/>
        <v>178412</v>
      </c>
      <c r="R19" s="7">
        <f>SUM(R14:R18)</f>
        <v>743708</v>
      </c>
      <c r="S19" s="7">
        <f t="shared" si="2"/>
        <v>551746</v>
      </c>
      <c r="T19" s="7">
        <f t="shared" si="2"/>
        <v>343323</v>
      </c>
      <c r="U19" s="7">
        <f t="shared" si="2"/>
        <v>614724</v>
      </c>
      <c r="V19" s="7">
        <f>SUM(V14:V18)</f>
        <v>89470.517</v>
      </c>
      <c r="W19" s="7">
        <f>SUM(W14:W18)</f>
        <v>324806</v>
      </c>
      <c r="X19" s="7">
        <f t="shared" si="2"/>
        <v>1355574</v>
      </c>
      <c r="Y19" s="7">
        <f>SUM(Y14:Y18)</f>
        <v>99386.706</v>
      </c>
      <c r="Z19" s="7">
        <f t="shared" si="2"/>
        <v>317815</v>
      </c>
      <c r="AA19" s="7">
        <f t="shared" si="2"/>
        <v>289943.646</v>
      </c>
      <c r="AB19" s="7">
        <f t="shared" si="2"/>
        <v>205061</v>
      </c>
      <c r="AC19" s="7">
        <f t="shared" si="2"/>
        <v>111190</v>
      </c>
      <c r="AD19" s="7">
        <f t="shared" si="2"/>
        <v>150908</v>
      </c>
      <c r="AE19" s="7">
        <f t="shared" si="2"/>
        <v>70864</v>
      </c>
      <c r="AF19" s="7">
        <f t="shared" si="2"/>
        <v>57974</v>
      </c>
      <c r="AG19" s="7">
        <f t="shared" si="2"/>
        <v>103385</v>
      </c>
      <c r="AH19" s="7">
        <f>SUM(AH14:AH18)</f>
        <v>38170</v>
      </c>
      <c r="AI19" s="7">
        <f t="shared" si="2"/>
        <v>118439</v>
      </c>
      <c r="AJ19" s="7">
        <f t="shared" si="2"/>
        <v>122564</v>
      </c>
      <c r="AK19" s="7">
        <f t="shared" si="2"/>
        <v>75370</v>
      </c>
      <c r="AL19" s="7">
        <f t="shared" si="2"/>
        <v>180957</v>
      </c>
      <c r="AM19" s="7">
        <f t="shared" si="2"/>
        <v>70088</v>
      </c>
      <c r="AN19" s="7">
        <f t="shared" si="2"/>
        <v>39931.464</v>
      </c>
      <c r="AO19" s="7">
        <f t="shared" si="2"/>
        <v>38412.9</v>
      </c>
      <c r="AP19" s="7">
        <f t="shared" si="2"/>
        <v>78417</v>
      </c>
      <c r="AQ19" s="7">
        <f t="shared" si="2"/>
        <v>36928</v>
      </c>
      <c r="AR19" s="7">
        <f t="shared" si="2"/>
        <v>38926</v>
      </c>
      <c r="AS19" s="7">
        <f t="shared" si="2"/>
        <v>40044.483</v>
      </c>
      <c r="AT19" s="7">
        <f t="shared" si="2"/>
        <v>35020</v>
      </c>
      <c r="AU19" s="7">
        <f t="shared" si="2"/>
        <v>143765</v>
      </c>
      <c r="AV19" s="7">
        <f>SUM(AV14:AV18)</f>
        <v>797</v>
      </c>
      <c r="AW19" s="7">
        <f t="shared" si="2"/>
        <v>56222</v>
      </c>
      <c r="AX19" s="7"/>
      <c r="AY19" s="18">
        <f>SUM(B19:AW19)</f>
        <v>31192916.643</v>
      </c>
      <c r="AZ19" s="7"/>
    </row>
    <row r="20" spans="1:52" ht="6" customHeight="1">
      <c r="A20" s="15"/>
      <c r="C20" s="11"/>
      <c r="D20" s="8"/>
      <c r="E20" s="11"/>
      <c r="F20" s="11"/>
      <c r="G20" s="7"/>
      <c r="M20" s="11"/>
      <c r="N20" s="19"/>
      <c r="Q20" s="11"/>
      <c r="R20" s="135"/>
      <c r="S20" s="11"/>
      <c r="T20" s="11"/>
      <c r="U20" s="11"/>
      <c r="W20" s="135"/>
      <c r="X20" s="11"/>
      <c r="Z20" s="11"/>
      <c r="AB20" s="11"/>
      <c r="AC20" s="19"/>
      <c r="AF20" s="11"/>
      <c r="AG20" s="11"/>
      <c r="AI20" s="50"/>
      <c r="AL20" s="11"/>
      <c r="AN20" s="11"/>
      <c r="AO20" s="11"/>
      <c r="AP20" s="11"/>
      <c r="AQ20" s="11"/>
      <c r="AS20" s="11"/>
      <c r="AT20" s="11"/>
      <c r="AU20" s="11"/>
      <c r="AW20" s="11"/>
      <c r="AX20" s="18"/>
      <c r="AZ20" s="7"/>
    </row>
    <row r="21" spans="1:52" ht="12.75">
      <c r="A21" s="15" t="s">
        <v>276</v>
      </c>
      <c r="C21" s="11"/>
      <c r="D21" s="8"/>
      <c r="E21" s="11"/>
      <c r="F21" s="11"/>
      <c r="M21" s="11"/>
      <c r="N21" s="19"/>
      <c r="Q21" s="11"/>
      <c r="R21" s="135"/>
      <c r="S21" s="11"/>
      <c r="T21" s="11"/>
      <c r="U21" s="11"/>
      <c r="W21" s="135"/>
      <c r="X21" s="11"/>
      <c r="Z21" s="11"/>
      <c r="AB21" s="11"/>
      <c r="AC21" s="19"/>
      <c r="AF21" s="11"/>
      <c r="AG21" s="11"/>
      <c r="AI21" s="50"/>
      <c r="AL21" s="11"/>
      <c r="AN21" s="11"/>
      <c r="AO21" s="11"/>
      <c r="AP21" s="11"/>
      <c r="AQ21" s="11"/>
      <c r="AS21" s="11"/>
      <c r="AT21" s="11"/>
      <c r="AU21" s="11"/>
      <c r="AW21" s="11"/>
      <c r="AX21" s="18"/>
      <c r="AZ21" s="7"/>
    </row>
    <row r="22" spans="1:52" ht="12.75">
      <c r="A22" s="17" t="s">
        <v>277</v>
      </c>
      <c r="B22" s="8">
        <f>+'4.1. Samtryggingard.'!B24+'4.1. Samtryggingard.'!C24+'5.1. Séreignard.'!B24+'5.1. Séreignard.'!C24+'5.1. Séreignard.'!D24</f>
        <v>0</v>
      </c>
      <c r="C22" s="8">
        <f>+'4.1. Samtryggingard.'!D24+'5.1. Séreignard.'!E24</f>
        <v>0</v>
      </c>
      <c r="D22" s="8">
        <f>+'4.1. Samtryggingard.'!E24+'5.1. Séreignard.'!F24+'5.1. Séreignard.'!G24</f>
        <v>0</v>
      </c>
      <c r="E22" s="8">
        <f>+'4.1. Samtryggingard.'!F24+'5.1. Séreignard.'!H24+'5.1. Séreignard.'!I24+'5.1. Séreignard.'!J24</f>
        <v>0</v>
      </c>
      <c r="F22" s="8">
        <f>+'4.1. Samtryggingard.'!G24+'4.1. Samtryggingard.'!H24+'5.1. Séreignard.'!K24+'5.1. Séreignard.'!L24</f>
        <v>0</v>
      </c>
      <c r="G22" s="18">
        <f>+'4.1. Samtryggingard.'!I24+'5.1. Séreignard.'!M24+'5.1. Séreignard.'!N24</f>
        <v>0</v>
      </c>
      <c r="H22" s="8">
        <f>+'4.1. Samtryggingard.'!J24+'5.1. Séreignard.'!O24+'5.1. Séreignard.'!P24+'5.1. Séreignard.'!Q24</f>
        <v>0</v>
      </c>
      <c r="I22" s="8">
        <f>+'4.1. Samtryggingard.'!K24+'5.1. Séreignard.'!R24</f>
        <v>0</v>
      </c>
      <c r="J22" s="8">
        <f>+'4.1. Samtryggingard.'!L24+'5.1. Séreignard.'!S24+'5.1. Séreignard.'!T24+'5.1. Séreignard.'!U24+'5.1. Séreignard.'!V24</f>
        <v>0</v>
      </c>
      <c r="K22" s="8">
        <f>+'4.1. Samtryggingard.'!M24+'5.1. Séreignard.'!W24+'5.1. Séreignard.'!X24</f>
        <v>0</v>
      </c>
      <c r="L22" s="8">
        <f>+'4.1. Samtryggingard.'!N24+'4.1. Samtryggingard.'!O24</f>
        <v>0</v>
      </c>
      <c r="M22" s="8">
        <f>+'4.1. Samtryggingard.'!P24+'4.1. Samtryggingard.'!Q24+'5.1. Séreignard.'!Y24</f>
        <v>0</v>
      </c>
      <c r="N22" s="79">
        <f>+'4.1. Samtryggingard.'!R24</f>
        <v>0</v>
      </c>
      <c r="O22" s="8">
        <f>+'4.1. Samtryggingard.'!S24+'5.1. Séreignard.'!Z24</f>
        <v>0</v>
      </c>
      <c r="P22" s="79">
        <f>+'4.1. Samtryggingard.'!T24+'5.1. Séreignard.'!AA24</f>
        <v>0</v>
      </c>
      <c r="Q22" s="79">
        <f>+'4.1. Samtryggingard.'!U24+'5.1. Séreignard.'!AB24</f>
        <v>0</v>
      </c>
      <c r="R22" s="135">
        <f>+'4.1. Samtryggingard.'!V24</f>
        <v>794602</v>
      </c>
      <c r="S22" s="79">
        <f>+'4.1. Samtryggingard.'!W24</f>
        <v>0</v>
      </c>
      <c r="T22" s="79">
        <f>+'4.1. Samtryggingard.'!X24+'5.1. Séreignard.'!AC24+'5.1. Séreignard.'!AD24</f>
        <v>0</v>
      </c>
      <c r="U22" s="79">
        <f>+'4.1. Samtryggingard.'!Y24</f>
        <v>0</v>
      </c>
      <c r="V22" s="8">
        <f>+'4.1. Samtryggingard.'!Z24+'4.1. Samtryggingard.'!AA24+'5.1. Séreignard.'!AE24+'5.1. Séreignard.'!AF24+'5.1. Séreignard.'!AG24</f>
        <v>0</v>
      </c>
      <c r="W22" s="135">
        <f>+'4.1. Samtryggingard.'!AB24+'5.1. Séreignard.'!AH24</f>
        <v>0</v>
      </c>
      <c r="X22" s="79">
        <f>+'4.1. Samtryggingard.'!AC24</f>
        <v>0</v>
      </c>
      <c r="Y22" s="8">
        <f>+'4.1. Samtryggingard.'!AD24+'5.1. Séreignard.'!AI24+'5.1. Séreignard.'!AJ24+'5.1. Séreignard.'!AK24+'5.1. Séreignard.'!AL24</f>
        <v>0</v>
      </c>
      <c r="Z22" s="135">
        <f>+'4.1. Samtryggingard.'!AE24</f>
        <v>0</v>
      </c>
      <c r="AA22" s="8">
        <f>+'4.1. Samtryggingard.'!AF24</f>
        <v>0</v>
      </c>
      <c r="AB22" s="8">
        <f>+'4.1. Samtryggingard.'!AG24</f>
        <v>0</v>
      </c>
      <c r="AC22" s="8">
        <f>+'4.1. Samtryggingard.'!AH24</f>
        <v>0</v>
      </c>
      <c r="AD22" s="8">
        <f>+'4.1. Samtryggingard.'!AI24+'4.1. Samtryggingard.'!AJ24</f>
        <v>0</v>
      </c>
      <c r="AE22" s="8">
        <f>+'4.1. Samtryggingard.'!AK24+'5.1. Séreignard.'!AM24</f>
        <v>0</v>
      </c>
      <c r="AF22" s="8">
        <f>+'4.1. Samtryggingard.'!AL24</f>
        <v>0</v>
      </c>
      <c r="AG22" s="8">
        <f>+'4.1. Samtryggingard.'!AM24</f>
        <v>0</v>
      </c>
      <c r="AH22" s="8">
        <f>+'4.1. Samtryggingard.'!AN24+'5.1. Séreignard.'!AN24</f>
        <v>0</v>
      </c>
      <c r="AI22" s="8">
        <f>+'4.1. Samtryggingard.'!AO24</f>
        <v>0</v>
      </c>
      <c r="AJ22" s="8">
        <f>+'4.1. Samtryggingard.'!AP24</f>
        <v>0</v>
      </c>
      <c r="AK22" s="8">
        <f>+'4.1. Samtryggingard.'!AQ24</f>
        <v>0</v>
      </c>
      <c r="AL22" s="8">
        <f>+'4.1. Samtryggingard.'!AR24</f>
        <v>0</v>
      </c>
      <c r="AM22" s="8">
        <f>+'4.1. Samtryggingard.'!AS24</f>
        <v>0</v>
      </c>
      <c r="AN22" s="8">
        <f>+'4.1. Samtryggingard.'!AT24</f>
        <v>0</v>
      </c>
      <c r="AO22" s="8">
        <f>+'4.1. Samtryggingard.'!AU24</f>
        <v>0</v>
      </c>
      <c r="AP22" s="8">
        <f>+'4.1. Samtryggingard.'!AV24</f>
        <v>0</v>
      </c>
      <c r="AQ22" s="8">
        <f>+'4.1. Samtryggingard.'!AW24</f>
        <v>0</v>
      </c>
      <c r="AR22" s="8">
        <f>+'4.1. Samtryggingard.'!AX24</f>
        <v>0</v>
      </c>
      <c r="AS22" s="8">
        <f>+'4.1. Samtryggingard.'!AY24</f>
        <v>0</v>
      </c>
      <c r="AT22" s="8">
        <f>+'4.1. Samtryggingard.'!AZ24</f>
        <v>0</v>
      </c>
      <c r="AU22" s="8">
        <f>+'4.1. Samtryggingard.'!BA24</f>
        <v>0</v>
      </c>
      <c r="AV22" s="8">
        <f>+'4.1. Samtryggingard.'!BB24</f>
        <v>0</v>
      </c>
      <c r="AW22" s="8">
        <f>+'4.1. Samtryggingard.'!BC24</f>
        <v>0</v>
      </c>
      <c r="AX22" s="18"/>
      <c r="AY22" s="18">
        <f aca="true" t="shared" si="3" ref="AY22:AY30">SUM(B22:AW22)</f>
        <v>794602</v>
      </c>
      <c r="AZ22" s="7"/>
    </row>
    <row r="23" spans="1:52" ht="12.75">
      <c r="A23" s="17" t="s">
        <v>278</v>
      </c>
      <c r="B23" s="8">
        <f>+'4.1. Samtryggingard.'!B25+'4.1. Samtryggingard.'!C25+'5.1. Séreignard.'!B25+'5.1. Séreignard.'!C25+'5.1. Séreignard.'!D25</f>
        <v>0</v>
      </c>
      <c r="C23" s="8">
        <f>+'4.1. Samtryggingard.'!D25+'5.1. Séreignard.'!E25</f>
        <v>0</v>
      </c>
      <c r="D23" s="8">
        <f>+'4.1. Samtryggingard.'!E25+'5.1. Séreignard.'!F25+'5.1. Séreignard.'!G25</f>
        <v>1617.727</v>
      </c>
      <c r="E23" s="8">
        <f>+'4.1. Samtryggingard.'!F25+'5.1. Séreignard.'!H25+'5.1. Séreignard.'!I25+'5.1. Séreignard.'!J25</f>
        <v>0</v>
      </c>
      <c r="F23" s="8">
        <f>+'4.1. Samtryggingard.'!G25+'4.1. Samtryggingard.'!H25+'5.1. Séreignard.'!K25+'5.1. Séreignard.'!L25</f>
        <v>0</v>
      </c>
      <c r="G23" s="18">
        <f>+'4.1. Samtryggingard.'!I25+'5.1. Séreignard.'!M25+'5.1. Séreignard.'!N25</f>
        <v>0</v>
      </c>
      <c r="H23" s="8">
        <f>+'4.1. Samtryggingard.'!J25+'5.1. Séreignard.'!O25+'5.1. Séreignard.'!P25+'5.1. Séreignard.'!Q25</f>
        <v>0</v>
      </c>
      <c r="I23" s="8">
        <f>+'4.1. Samtryggingard.'!K25+'5.1. Séreignard.'!R25</f>
        <v>0</v>
      </c>
      <c r="J23" s="8">
        <f>+'4.1. Samtryggingard.'!L25+'5.1. Séreignard.'!S25+'5.1. Séreignard.'!T25+'5.1. Séreignard.'!U25+'5.1. Séreignard.'!V25</f>
        <v>0</v>
      </c>
      <c r="K23" s="8">
        <f>+'4.1. Samtryggingard.'!M25+'5.1. Séreignard.'!W25+'5.1. Séreignard.'!X25</f>
        <v>0</v>
      </c>
      <c r="L23" s="8">
        <f>+'4.1. Samtryggingard.'!N25+'4.1. Samtryggingard.'!O25</f>
        <v>0</v>
      </c>
      <c r="M23" s="8">
        <f>+'4.1. Samtryggingard.'!P25+'4.1. Samtryggingard.'!Q25+'5.1. Séreignard.'!Y25</f>
        <v>0</v>
      </c>
      <c r="N23" s="79">
        <f>+'4.1. Samtryggingard.'!R25</f>
        <v>0</v>
      </c>
      <c r="O23" s="8">
        <f>+'4.1. Samtryggingard.'!S25+'5.1. Séreignard.'!Z25</f>
        <v>373</v>
      </c>
      <c r="P23" s="79">
        <f>+'4.1. Samtryggingard.'!T25+'5.1. Séreignard.'!AA25</f>
        <v>0</v>
      </c>
      <c r="Q23" s="79">
        <f>+'4.1. Samtryggingard.'!U25+'5.1. Séreignard.'!AB25</f>
        <v>0</v>
      </c>
      <c r="R23" s="135">
        <f>+'4.1. Samtryggingard.'!V25</f>
        <v>1094341</v>
      </c>
      <c r="S23" s="79">
        <f>+'4.1. Samtryggingard.'!W25</f>
        <v>0</v>
      </c>
      <c r="T23" s="79">
        <f>+'4.1. Samtryggingard.'!X25+'5.1. Séreignard.'!AC25+'5.1. Séreignard.'!AD25</f>
        <v>1618</v>
      </c>
      <c r="U23" s="79">
        <f>+'4.1. Samtryggingard.'!Y25</f>
        <v>0</v>
      </c>
      <c r="V23" s="8">
        <f>+'4.1. Samtryggingard.'!Z25+'4.1. Samtryggingard.'!AA25+'5.1. Séreignard.'!AE25+'5.1. Séreignard.'!AF25+'5.1. Séreignard.'!AG25</f>
        <v>0</v>
      </c>
      <c r="W23" s="135">
        <f>+'4.1. Samtryggingard.'!AB25+'5.1. Séreignard.'!AH25</f>
        <v>0</v>
      </c>
      <c r="X23" s="79">
        <f>+'4.1. Samtryggingard.'!AC25</f>
        <v>0</v>
      </c>
      <c r="Y23" s="8">
        <f>+'4.1. Samtryggingard.'!AD25+'5.1. Séreignard.'!AI25+'5.1. Séreignard.'!AJ25+'5.1. Séreignard.'!AK25+'5.1. Séreignard.'!AL25</f>
        <v>0</v>
      </c>
      <c r="Z23" s="135">
        <f>+'4.1. Samtryggingard.'!AE25</f>
        <v>0</v>
      </c>
      <c r="AA23" s="8">
        <f>+'4.1. Samtryggingard.'!AF25</f>
        <v>0</v>
      </c>
      <c r="AB23" s="8">
        <f>+'4.1. Samtryggingard.'!AG25</f>
        <v>0</v>
      </c>
      <c r="AC23" s="8">
        <f>+'4.1. Samtryggingard.'!AH25</f>
        <v>0</v>
      </c>
      <c r="AD23" s="8">
        <f>+'4.1. Samtryggingard.'!AI25+'4.1. Samtryggingard.'!AJ25</f>
        <v>0</v>
      </c>
      <c r="AE23" s="8">
        <f>+'4.1. Samtryggingard.'!AK25+'5.1. Séreignard.'!AM25</f>
        <v>0</v>
      </c>
      <c r="AF23" s="8">
        <f>+'4.1. Samtryggingard.'!AL25</f>
        <v>0</v>
      </c>
      <c r="AG23" s="8">
        <f>+'4.1. Samtryggingard.'!AM25</f>
        <v>0</v>
      </c>
      <c r="AH23" s="8">
        <f>+'4.1. Samtryggingard.'!AN25+'5.1. Séreignard.'!AN25</f>
        <v>0</v>
      </c>
      <c r="AI23" s="8">
        <f>+'4.1. Samtryggingard.'!AO25</f>
        <v>0</v>
      </c>
      <c r="AJ23" s="8">
        <f>+'4.1. Samtryggingard.'!AP25</f>
        <v>0</v>
      </c>
      <c r="AK23" s="8">
        <f>+'4.1. Samtryggingard.'!AQ25</f>
        <v>0</v>
      </c>
      <c r="AL23" s="8">
        <f>+'4.1. Samtryggingard.'!AR25</f>
        <v>0</v>
      </c>
      <c r="AM23" s="8">
        <f>+'4.1. Samtryggingard.'!AS25</f>
        <v>0</v>
      </c>
      <c r="AN23" s="8">
        <f>+'4.1. Samtryggingard.'!AT25</f>
        <v>0</v>
      </c>
      <c r="AO23" s="8">
        <f>+'4.1. Samtryggingard.'!AU25</f>
        <v>0</v>
      </c>
      <c r="AP23" s="8">
        <f>+'4.1. Samtryggingard.'!AV25</f>
        <v>0</v>
      </c>
      <c r="AQ23" s="8">
        <f>+'4.1. Samtryggingard.'!AW25</f>
        <v>0</v>
      </c>
      <c r="AR23" s="8">
        <f>+'4.1. Samtryggingard.'!AX25</f>
        <v>0</v>
      </c>
      <c r="AS23" s="8">
        <f>+'4.1. Samtryggingard.'!AY25</f>
        <v>0</v>
      </c>
      <c r="AT23" s="8">
        <f>+'4.1. Samtryggingard.'!AZ25</f>
        <v>0</v>
      </c>
      <c r="AU23" s="8">
        <f>+'4.1. Samtryggingard.'!BA25</f>
        <v>0</v>
      </c>
      <c r="AV23" s="8">
        <f>+'4.1. Samtryggingard.'!BB25</f>
        <v>0</v>
      </c>
      <c r="AW23" s="8">
        <f>+'4.1. Samtryggingard.'!BC25</f>
        <v>0</v>
      </c>
      <c r="AX23" s="18"/>
      <c r="AY23" s="18">
        <f t="shared" si="3"/>
        <v>1097949.727</v>
      </c>
      <c r="AZ23" s="7"/>
    </row>
    <row r="24" spans="1:52" ht="12.75">
      <c r="A24" s="17" t="s">
        <v>279</v>
      </c>
      <c r="B24" s="8">
        <f>+'4.1. Samtryggingard.'!B26+'4.1. Samtryggingard.'!C26+'5.1. Séreignard.'!B26+'5.1. Séreignard.'!C26+'5.1. Séreignard.'!D26</f>
        <v>8648523</v>
      </c>
      <c r="C24" s="8">
        <f>+'4.1. Samtryggingard.'!D26+'5.1. Séreignard.'!E26</f>
        <v>11188831</v>
      </c>
      <c r="D24" s="8">
        <f>+'4.1. Samtryggingard.'!E26+'5.1. Séreignard.'!F26+'5.1. Séreignard.'!G26</f>
        <v>6699811.140000001</v>
      </c>
      <c r="E24" s="8">
        <f>+'4.1. Samtryggingard.'!F26+'5.1. Séreignard.'!H26+'5.1. Séreignard.'!I26+'5.1. Séreignard.'!J26</f>
        <v>6379720</v>
      </c>
      <c r="F24" s="8">
        <f>+'4.1. Samtryggingard.'!G26+'4.1. Samtryggingard.'!H26+'5.1. Séreignard.'!K26+'5.1. Séreignard.'!L26</f>
        <v>652362</v>
      </c>
      <c r="G24" s="18">
        <f>+'4.1. Samtryggingard.'!I26+'5.1. Séreignard.'!M26+'5.1. Séreignard.'!N26</f>
        <v>3450902</v>
      </c>
      <c r="H24" s="8">
        <f>+'4.1. Samtryggingard.'!J26+'5.1. Séreignard.'!O26+'5.1. Séreignard.'!P26+'5.1. Séreignard.'!Q26</f>
        <v>1035674</v>
      </c>
      <c r="I24" s="8">
        <f>+'4.1. Samtryggingard.'!K26+'5.1. Séreignard.'!R26</f>
        <v>1559286</v>
      </c>
      <c r="J24" s="8">
        <f>+'4.1. Samtryggingard.'!L26+'5.1. Séreignard.'!S26+'5.1. Séreignard.'!T26+'5.1. Séreignard.'!U26+'5.1. Séreignard.'!V26</f>
        <v>281393.649</v>
      </c>
      <c r="K24" s="8">
        <f>+'4.1. Samtryggingard.'!M26+'5.1. Séreignard.'!W26+'5.1. Séreignard.'!X26</f>
        <v>978448</v>
      </c>
      <c r="L24" s="8">
        <f>+'4.1. Samtryggingard.'!N26+'4.1. Samtryggingard.'!O26</f>
        <v>5046</v>
      </c>
      <c r="M24" s="8">
        <f>+'4.1. Samtryggingard.'!P26+'4.1. Samtryggingard.'!Q26+'5.1. Séreignard.'!Y26</f>
        <v>2586995</v>
      </c>
      <c r="N24" s="79">
        <f>+'4.1. Samtryggingard.'!R26</f>
        <v>858353.4</v>
      </c>
      <c r="O24" s="8">
        <f>+'4.1. Samtryggingard.'!S26+'5.1. Séreignard.'!Z26</f>
        <v>581405</v>
      </c>
      <c r="P24" s="79">
        <f>+'4.1. Samtryggingard.'!T26+'5.1. Séreignard.'!AA26</f>
        <v>1445466</v>
      </c>
      <c r="Q24" s="79">
        <f>+'4.1. Samtryggingard.'!U26+'5.1. Séreignard.'!AB26</f>
        <v>658619</v>
      </c>
      <c r="R24" s="135">
        <f>+'4.1. Samtryggingard.'!V26</f>
        <v>0</v>
      </c>
      <c r="S24" s="79">
        <f>+'4.1. Samtryggingard.'!W26</f>
        <v>250088</v>
      </c>
      <c r="T24" s="79">
        <f>+'4.1. Samtryggingard.'!X26+'5.1. Séreignard.'!AC26+'5.1. Séreignard.'!AD26</f>
        <v>1136510</v>
      </c>
      <c r="U24" s="79">
        <f>+'4.1. Samtryggingard.'!Y26</f>
        <v>32624</v>
      </c>
      <c r="V24" s="8">
        <f>+'4.1. Samtryggingard.'!Z26+'4.1. Samtryggingard.'!AA26+'5.1. Séreignard.'!AE26+'5.1. Séreignard.'!AF26+'5.1. Séreignard.'!AG26</f>
        <v>97725.51</v>
      </c>
      <c r="W24" s="135">
        <f>+'4.1. Samtryggingard.'!AB26+'5.1. Séreignard.'!AH26</f>
        <v>510924</v>
      </c>
      <c r="X24" s="79">
        <f>+'4.1. Samtryggingard.'!AC26</f>
        <v>1091.216</v>
      </c>
      <c r="Y24" s="8">
        <f>+'4.1. Samtryggingard.'!AD26+'5.1. Séreignard.'!AI26+'5.1. Séreignard.'!AJ26+'5.1. Séreignard.'!AK26+'5.1. Séreignard.'!AL26</f>
        <v>10075.987000000001</v>
      </c>
      <c r="Z24" s="135">
        <f>+'4.1. Samtryggingard.'!AE26</f>
        <v>62990</v>
      </c>
      <c r="AA24" s="8">
        <f>+'4.1. Samtryggingard.'!AF26</f>
        <v>1096417.55</v>
      </c>
      <c r="AB24" s="8">
        <f>+'4.1. Samtryggingard.'!AG26</f>
        <v>17273</v>
      </c>
      <c r="AC24" s="8">
        <f>+'4.1. Samtryggingard.'!AH26</f>
        <v>0</v>
      </c>
      <c r="AD24" s="8">
        <f>+'4.1. Samtryggingard.'!AI26+'4.1. Samtryggingard.'!AJ26</f>
        <v>240860</v>
      </c>
      <c r="AE24" s="8">
        <f>+'4.1. Samtryggingard.'!AK26+'5.1. Séreignard.'!AM26</f>
        <v>15996</v>
      </c>
      <c r="AF24" s="8">
        <f>+'4.1. Samtryggingard.'!AL26</f>
        <v>-3765</v>
      </c>
      <c r="AG24" s="8">
        <f>+'4.1. Samtryggingard.'!AM26</f>
        <v>3254</v>
      </c>
      <c r="AH24" s="8">
        <f>+'4.1. Samtryggingard.'!AN26+'5.1. Séreignard.'!AN26</f>
        <v>720</v>
      </c>
      <c r="AI24" s="8">
        <f>+'4.1. Samtryggingard.'!AO26</f>
        <v>45804</v>
      </c>
      <c r="AJ24" s="8">
        <f>+'4.1. Samtryggingard.'!AP26</f>
        <v>27463</v>
      </c>
      <c r="AK24" s="8">
        <f>+'4.1. Samtryggingard.'!AQ26</f>
        <v>226</v>
      </c>
      <c r="AL24" s="8">
        <f>+'4.1. Samtryggingard.'!AR26</f>
        <v>0</v>
      </c>
      <c r="AM24" s="8">
        <f>+'4.1. Samtryggingard.'!AS26</f>
        <v>0</v>
      </c>
      <c r="AN24" s="8">
        <f>+'4.1. Samtryggingard.'!AT26</f>
        <v>36</v>
      </c>
      <c r="AO24" s="8">
        <f>+'4.1. Samtryggingard.'!AU26</f>
        <v>-3471.971</v>
      </c>
      <c r="AP24" s="8">
        <f>+'4.1. Samtryggingard.'!AV26</f>
        <v>4017</v>
      </c>
      <c r="AQ24" s="8">
        <f>+'4.1. Samtryggingard.'!AW26</f>
        <v>11</v>
      </c>
      <c r="AR24" s="8">
        <f>+'4.1. Samtryggingard.'!AX26</f>
        <v>0</v>
      </c>
      <c r="AS24" s="8">
        <f>+'4.1. Samtryggingard.'!AY26</f>
        <v>0</v>
      </c>
      <c r="AT24" s="8">
        <f>+'4.1. Samtryggingard.'!AZ26</f>
        <v>1192</v>
      </c>
      <c r="AU24" s="8">
        <f>+'4.1. Samtryggingard.'!BA26</f>
        <v>0</v>
      </c>
      <c r="AV24" s="8">
        <f>+'4.1. Samtryggingard.'!BB26</f>
        <v>0</v>
      </c>
      <c r="AW24" s="8">
        <f>+'4.1. Samtryggingard.'!BC26</f>
        <v>0</v>
      </c>
      <c r="AX24" s="18"/>
      <c r="AY24" s="18">
        <f t="shared" si="3"/>
        <v>50558896.48099999</v>
      </c>
      <c r="AZ24" s="7"/>
    </row>
    <row r="25" spans="1:52" ht="12.75">
      <c r="A25" s="17" t="s">
        <v>280</v>
      </c>
      <c r="B25" s="8">
        <f>+'4.1. Samtryggingard.'!B27+'4.1. Samtryggingard.'!C27+'5.1. Séreignard.'!B27+'5.1. Séreignard.'!C27+'5.1. Séreignard.'!D27</f>
        <v>0</v>
      </c>
      <c r="C25" s="8">
        <f>+'4.1. Samtryggingard.'!D27+'5.1. Séreignard.'!E27</f>
        <v>1703</v>
      </c>
      <c r="D25" s="8">
        <f>+'4.1. Samtryggingard.'!E27+'5.1. Séreignard.'!F27+'5.1. Séreignard.'!G27</f>
        <v>0</v>
      </c>
      <c r="E25" s="8">
        <f>+'4.1. Samtryggingard.'!F27+'5.1. Séreignard.'!H27+'5.1. Séreignard.'!I27+'5.1. Séreignard.'!J27</f>
        <v>4116</v>
      </c>
      <c r="F25" s="8">
        <f>+'4.1. Samtryggingard.'!G27+'4.1. Samtryggingard.'!H27+'5.1. Séreignard.'!K27+'5.1. Séreignard.'!L27</f>
        <v>4647</v>
      </c>
      <c r="G25" s="18">
        <f>+'4.1. Samtryggingard.'!I27+'5.1. Séreignard.'!M27+'5.1. Séreignard.'!N27</f>
        <v>199</v>
      </c>
      <c r="H25" s="8">
        <f>+'4.1. Samtryggingard.'!J27+'5.1. Séreignard.'!O27+'5.1. Séreignard.'!P27+'5.1. Séreignard.'!Q27</f>
        <v>0</v>
      </c>
      <c r="I25" s="8">
        <f>+'4.1. Samtryggingard.'!K27+'5.1. Séreignard.'!R27</f>
        <v>0</v>
      </c>
      <c r="J25" s="8">
        <f>+'4.1. Samtryggingard.'!L27+'5.1. Séreignard.'!S27+'5.1. Séreignard.'!T27+'5.1. Séreignard.'!U27+'5.1. Séreignard.'!V27</f>
        <v>0</v>
      </c>
      <c r="K25" s="8">
        <f>+'4.1. Samtryggingard.'!M27+'5.1. Séreignard.'!W27+'5.1. Séreignard.'!X27</f>
        <v>0</v>
      </c>
      <c r="L25" s="8">
        <f>+'4.1. Samtryggingard.'!N27+'4.1. Samtryggingard.'!O27</f>
        <v>0</v>
      </c>
      <c r="M25" s="8">
        <f>+'4.1. Samtryggingard.'!P27+'4.1. Samtryggingard.'!Q27+'5.1. Séreignard.'!Y27</f>
        <v>-1956</v>
      </c>
      <c r="N25" s="79">
        <f>+'4.1. Samtryggingard.'!R27</f>
        <v>0</v>
      </c>
      <c r="O25" s="8">
        <f>+'4.1. Samtryggingard.'!S27+'5.1. Séreignard.'!Z27</f>
        <v>0</v>
      </c>
      <c r="P25" s="79">
        <f>+'4.1. Samtryggingard.'!T27+'5.1. Séreignard.'!AA27</f>
        <v>3096.539</v>
      </c>
      <c r="Q25" s="79">
        <f>+'4.1. Samtryggingard.'!U27+'5.1. Séreignard.'!AB27</f>
        <v>0</v>
      </c>
      <c r="R25" s="135">
        <f>+'4.1. Samtryggingard.'!V27</f>
        <v>0</v>
      </c>
      <c r="S25" s="79">
        <f>+'4.1. Samtryggingard.'!W27</f>
        <v>0</v>
      </c>
      <c r="T25" s="79">
        <f>+'4.1. Samtryggingard.'!X27+'5.1. Séreignard.'!AC27+'5.1. Séreignard.'!AD27</f>
        <v>0</v>
      </c>
      <c r="U25" s="79">
        <f>+'4.1. Samtryggingard.'!Y27</f>
        <v>0</v>
      </c>
      <c r="V25" s="8">
        <f>+'4.1. Samtryggingard.'!Z27+'4.1. Samtryggingard.'!AA27+'5.1. Séreignard.'!AE27+'5.1. Séreignard.'!AF27+'5.1. Séreignard.'!AG27</f>
        <v>0</v>
      </c>
      <c r="W25" s="135">
        <f>+'4.1. Samtryggingard.'!AB27+'5.1. Séreignard.'!AH27</f>
        <v>288</v>
      </c>
      <c r="X25" s="79">
        <f>+'4.1. Samtryggingard.'!AC27</f>
        <v>0</v>
      </c>
      <c r="Y25" s="8">
        <f>+'4.1. Samtryggingard.'!AD27+'5.1. Séreignard.'!AI27+'5.1. Séreignard.'!AJ27+'5.1. Séreignard.'!AK27+'5.1. Séreignard.'!AL27</f>
        <v>0</v>
      </c>
      <c r="Z25" s="135">
        <f>+'4.1. Samtryggingard.'!AE27</f>
        <v>0</v>
      </c>
      <c r="AA25" s="8">
        <f>+'4.1. Samtryggingard.'!AF27</f>
        <v>0</v>
      </c>
      <c r="AB25" s="8">
        <f>+'4.1. Samtryggingard.'!AG27</f>
        <v>0</v>
      </c>
      <c r="AC25" s="8">
        <f>+'4.1. Samtryggingard.'!AH27</f>
        <v>0</v>
      </c>
      <c r="AD25" s="8">
        <f>+'4.1. Samtryggingard.'!AI27+'4.1. Samtryggingard.'!AJ27</f>
        <v>0</v>
      </c>
      <c r="AE25" s="8">
        <f>+'4.1. Samtryggingard.'!AK27+'5.1. Séreignard.'!AM27</f>
        <v>2826</v>
      </c>
      <c r="AF25" s="8">
        <f>+'4.1. Samtryggingard.'!AL27</f>
        <v>0</v>
      </c>
      <c r="AG25" s="8">
        <f>+'4.1. Samtryggingard.'!AM27</f>
        <v>0</v>
      </c>
      <c r="AH25" s="8">
        <f>+'4.1. Samtryggingard.'!AN27+'5.1. Séreignard.'!AN27</f>
        <v>0</v>
      </c>
      <c r="AI25" s="8">
        <f>+'4.1. Samtryggingard.'!AO27</f>
        <v>0</v>
      </c>
      <c r="AJ25" s="8">
        <f>+'4.1. Samtryggingard.'!AP27</f>
        <v>0</v>
      </c>
      <c r="AK25" s="8">
        <f>+'4.1. Samtryggingard.'!AQ27</f>
        <v>0</v>
      </c>
      <c r="AL25" s="8">
        <f>+'4.1. Samtryggingard.'!AR27</f>
        <v>0</v>
      </c>
      <c r="AM25" s="8">
        <f>+'4.1. Samtryggingard.'!AS27</f>
        <v>0</v>
      </c>
      <c r="AN25" s="8">
        <f>+'4.1. Samtryggingard.'!AT27</f>
        <v>0</v>
      </c>
      <c r="AO25" s="8">
        <f>+'4.1. Samtryggingard.'!AU27</f>
        <v>0</v>
      </c>
      <c r="AP25" s="8">
        <f>+'4.1. Samtryggingard.'!AV27</f>
        <v>0</v>
      </c>
      <c r="AQ25" s="8">
        <f>+'4.1. Samtryggingard.'!AW27</f>
        <v>0</v>
      </c>
      <c r="AR25" s="8">
        <f>+'4.1. Samtryggingard.'!AX27</f>
        <v>0</v>
      </c>
      <c r="AS25" s="8">
        <f>+'4.1. Samtryggingard.'!AY27</f>
        <v>0</v>
      </c>
      <c r="AT25" s="8">
        <f>+'4.1. Samtryggingard.'!AZ27</f>
        <v>0</v>
      </c>
      <c r="AU25" s="8">
        <f>+'4.1. Samtryggingard.'!BA27</f>
        <v>0</v>
      </c>
      <c r="AV25" s="8">
        <f>+'4.1. Samtryggingard.'!BB27</f>
        <v>0</v>
      </c>
      <c r="AW25" s="8">
        <f>+'4.1. Samtryggingard.'!BC27</f>
        <v>0</v>
      </c>
      <c r="AX25" s="18"/>
      <c r="AY25" s="18">
        <f t="shared" si="3"/>
        <v>14919.539</v>
      </c>
      <c r="AZ25" s="7"/>
    </row>
    <row r="26" spans="1:52" ht="12.75">
      <c r="A26" s="17" t="s">
        <v>281</v>
      </c>
      <c r="B26" s="8">
        <f>+'4.1. Samtryggingard.'!B28+'4.1. Samtryggingard.'!C28+'5.1. Séreignard.'!B28+'5.1. Séreignard.'!C28+'5.1. Séreignard.'!D28</f>
        <v>12888811</v>
      </c>
      <c r="C26" s="8">
        <f>+'4.1. Samtryggingard.'!D28+'5.1. Séreignard.'!E28</f>
        <v>9803088</v>
      </c>
      <c r="D26" s="8">
        <f>+'4.1. Samtryggingard.'!E28+'5.1. Séreignard.'!F28+'5.1. Séreignard.'!G28</f>
        <v>5194861.778</v>
      </c>
      <c r="E26" s="8">
        <f>+'4.1. Samtryggingard.'!F28+'5.1. Séreignard.'!H28+'5.1. Séreignard.'!I28+'5.1. Séreignard.'!J28</f>
        <v>5474442</v>
      </c>
      <c r="F26" s="8">
        <f>+'4.1. Samtryggingard.'!G28+'4.1. Samtryggingard.'!H28+'5.1. Séreignard.'!K28+'5.1. Séreignard.'!L28</f>
        <v>5358706</v>
      </c>
      <c r="G26" s="18">
        <f>+'4.1. Samtryggingard.'!I28+'5.1. Séreignard.'!M28+'5.1. Séreignard.'!N28</f>
        <v>1677612</v>
      </c>
      <c r="H26" s="8">
        <f>+'4.1. Samtryggingard.'!J28+'5.1. Séreignard.'!O28+'5.1. Séreignard.'!P28+'5.1. Séreignard.'!Q28</f>
        <v>3050223</v>
      </c>
      <c r="I26" s="8">
        <f>+'4.1. Samtryggingard.'!K28+'5.1. Séreignard.'!R28</f>
        <v>2691781</v>
      </c>
      <c r="J26" s="8">
        <f>+'4.1. Samtryggingard.'!L28+'5.1. Séreignard.'!S28+'5.1. Séreignard.'!T28+'5.1. Séreignard.'!U28+'5.1. Séreignard.'!V28</f>
        <v>3061702</v>
      </c>
      <c r="K26" s="8">
        <f>+'4.1. Samtryggingard.'!M28+'5.1. Séreignard.'!W28+'5.1. Séreignard.'!X28</f>
        <v>2152699</v>
      </c>
      <c r="L26" s="8">
        <f>+'4.1. Samtryggingard.'!N28+'4.1. Samtryggingard.'!O28</f>
        <v>2911453</v>
      </c>
      <c r="M26" s="8">
        <f>+'4.1. Samtryggingard.'!P28+'4.1. Samtryggingard.'!Q28+'5.1. Séreignard.'!Y28</f>
        <v>1582325</v>
      </c>
      <c r="N26" s="79">
        <f>+'4.1. Samtryggingard.'!R28</f>
        <v>1806689.4</v>
      </c>
      <c r="O26" s="8">
        <f>+'4.1. Samtryggingard.'!S28+'5.1. Séreignard.'!Z28</f>
        <v>1548408</v>
      </c>
      <c r="P26" s="79">
        <f>+'4.1. Samtryggingard.'!T28+'5.1. Séreignard.'!AA28</f>
        <v>1187848.629</v>
      </c>
      <c r="Q26" s="79">
        <f>+'4.1. Samtryggingard.'!U28+'5.1. Séreignard.'!AB28</f>
        <v>1005188</v>
      </c>
      <c r="R26" s="135">
        <f>+'4.1. Samtryggingard.'!V28</f>
        <v>0</v>
      </c>
      <c r="S26" s="79">
        <f>+'4.1. Samtryggingard.'!W28</f>
        <v>1213407</v>
      </c>
      <c r="T26" s="79">
        <f>+'4.1. Samtryggingard.'!X28+'5.1. Séreignard.'!AC28+'5.1. Séreignard.'!AD28</f>
        <v>909395</v>
      </c>
      <c r="U26" s="79">
        <f>+'4.1. Samtryggingard.'!Y28</f>
        <v>1440403</v>
      </c>
      <c r="V26" s="8">
        <f>+'4.1. Samtryggingard.'!Z28+'4.1. Samtryggingard.'!AA28+'5.1. Séreignard.'!AE28+'5.1. Séreignard.'!AF28+'5.1. Séreignard.'!AG28</f>
        <v>832486.78</v>
      </c>
      <c r="W26" s="135">
        <f>+'4.1. Samtryggingard.'!AB28+'5.1. Séreignard.'!AH28</f>
        <v>996133</v>
      </c>
      <c r="X26" s="79">
        <f>+'4.1. Samtryggingard.'!AC28</f>
        <v>772728.243</v>
      </c>
      <c r="Y26" s="8">
        <f>+'4.1. Samtryggingard.'!AD28+'5.1. Séreignard.'!AI28+'5.1. Séreignard.'!AJ28+'5.1. Séreignard.'!AK28+'5.1. Séreignard.'!AL28</f>
        <v>1000454.2999999999</v>
      </c>
      <c r="Z26" s="135">
        <f>+'4.1. Samtryggingard.'!AE28</f>
        <v>882819</v>
      </c>
      <c r="AA26" s="8">
        <f>+'4.1. Samtryggingard.'!AF28</f>
        <v>664740.821</v>
      </c>
      <c r="AB26" s="8">
        <f>+'4.1. Samtryggingard.'!AG28</f>
        <v>734988</v>
      </c>
      <c r="AC26" s="8">
        <f>+'4.1. Samtryggingard.'!AH28</f>
        <v>466131</v>
      </c>
      <c r="AD26" s="8">
        <f>+'4.1. Samtryggingard.'!AI28+'4.1. Samtryggingard.'!AJ28</f>
        <v>315993</v>
      </c>
      <c r="AE26" s="8">
        <f>+'4.1. Samtryggingard.'!AK28+'5.1. Séreignard.'!AM28</f>
        <v>235827</v>
      </c>
      <c r="AF26" s="8">
        <f>+'4.1. Samtryggingard.'!AL28</f>
        <v>236061</v>
      </c>
      <c r="AG26" s="8">
        <f>+'4.1. Samtryggingard.'!AM28</f>
        <v>271096</v>
      </c>
      <c r="AH26" s="8">
        <f>+'4.1. Samtryggingard.'!AN28+'5.1. Séreignard.'!AN28</f>
        <v>206833</v>
      </c>
      <c r="AI26" s="8">
        <f>+'4.1. Samtryggingard.'!AO28</f>
        <v>106499</v>
      </c>
      <c r="AJ26" s="8">
        <f>+'4.1. Samtryggingard.'!AP28</f>
        <v>126138</v>
      </c>
      <c r="AK26" s="8">
        <f>+'4.1. Samtryggingard.'!AQ28</f>
        <v>177486</v>
      </c>
      <c r="AL26" s="8">
        <f>+'4.1. Samtryggingard.'!AR28</f>
        <v>160182</v>
      </c>
      <c r="AM26" s="8">
        <f>+'4.1. Samtryggingard.'!AS28</f>
        <v>116242</v>
      </c>
      <c r="AN26" s="8">
        <f>+'4.1. Samtryggingard.'!AT28</f>
        <v>79111.793</v>
      </c>
      <c r="AO26" s="8">
        <f>+'4.1. Samtryggingard.'!AU28</f>
        <v>60560.566</v>
      </c>
      <c r="AP26" s="8">
        <f>+'4.1. Samtryggingard.'!AV28</f>
        <v>57693</v>
      </c>
      <c r="AQ26" s="8">
        <f>+'4.1. Samtryggingard.'!AW28</f>
        <v>54763</v>
      </c>
      <c r="AR26" s="8">
        <f>+'4.1. Samtryggingard.'!AX28</f>
        <v>45401</v>
      </c>
      <c r="AS26" s="8">
        <f>+'4.1. Samtryggingard.'!AY28</f>
        <v>41970.878</v>
      </c>
      <c r="AT26" s="8">
        <f>+'4.1. Samtryggingard.'!AZ28</f>
        <v>22227</v>
      </c>
      <c r="AU26" s="8">
        <f>+'4.1. Samtryggingard.'!BA28</f>
        <v>6874</v>
      </c>
      <c r="AV26" s="8">
        <f>+'4.1. Samtryggingard.'!BB28</f>
        <v>641</v>
      </c>
      <c r="AW26" s="8">
        <f>+'4.1. Samtryggingard.'!BC28</f>
        <v>2497</v>
      </c>
      <c r="AX26" s="18"/>
      <c r="AY26" s="18">
        <f t="shared" si="3"/>
        <v>73633620.188</v>
      </c>
      <c r="AZ26" s="7"/>
    </row>
    <row r="27" spans="1:52" ht="12.75">
      <c r="A27" s="17" t="s">
        <v>282</v>
      </c>
      <c r="B27" s="8">
        <f>+'4.1. Samtryggingard.'!B29+'4.1. Samtryggingard.'!C29+'5.1. Séreignard.'!B29+'5.1. Séreignard.'!C29+'5.1. Séreignard.'!D29</f>
        <v>0</v>
      </c>
      <c r="C27" s="8">
        <f>+'4.1. Samtryggingard.'!D29+'5.1. Séreignard.'!E29</f>
        <v>0</v>
      </c>
      <c r="D27" s="8">
        <f>+'4.1. Samtryggingard.'!E29+'5.1. Séreignard.'!F29+'5.1. Séreignard.'!G29</f>
        <v>16484.07</v>
      </c>
      <c r="E27" s="8">
        <f>+'4.1. Samtryggingard.'!F29+'5.1. Séreignard.'!H29+'5.1. Séreignard.'!I29+'5.1. Séreignard.'!J29</f>
        <v>0</v>
      </c>
      <c r="F27" s="8">
        <f>+'4.1. Samtryggingard.'!G29+'4.1. Samtryggingard.'!H29+'5.1. Séreignard.'!K29+'5.1. Séreignard.'!L29</f>
        <v>0</v>
      </c>
      <c r="G27" s="18">
        <f>+'4.1. Samtryggingard.'!I29+'5.1. Séreignard.'!M29+'5.1. Séreignard.'!N29</f>
        <v>0</v>
      </c>
      <c r="H27" s="8">
        <f>+'4.1. Samtryggingard.'!J29+'5.1. Séreignard.'!O29+'5.1. Séreignard.'!P29+'5.1. Séreignard.'!Q29</f>
        <v>0</v>
      </c>
      <c r="I27" s="8">
        <f>+'4.1. Samtryggingard.'!K29+'5.1. Séreignard.'!R29</f>
        <v>0</v>
      </c>
      <c r="J27" s="8">
        <f>+'4.1. Samtryggingard.'!L29+'5.1. Séreignard.'!S29+'5.1. Séreignard.'!T29+'5.1. Séreignard.'!U29+'5.1. Séreignard.'!V29</f>
        <v>0</v>
      </c>
      <c r="K27" s="8">
        <f>+'4.1. Samtryggingard.'!M29+'5.1. Séreignard.'!W29+'5.1. Séreignard.'!X29</f>
        <v>0</v>
      </c>
      <c r="L27" s="8">
        <f>+'4.1. Samtryggingard.'!N29+'4.1. Samtryggingard.'!O29</f>
        <v>0</v>
      </c>
      <c r="M27" s="8">
        <f>+'4.1. Samtryggingard.'!P29+'4.1. Samtryggingard.'!Q29+'5.1. Séreignard.'!Y29</f>
        <v>0</v>
      </c>
      <c r="N27" s="79">
        <f>+'4.1. Samtryggingard.'!R29</f>
        <v>0</v>
      </c>
      <c r="O27" s="8">
        <f>+'4.1. Samtryggingard.'!S29+'5.1. Séreignard.'!Z29</f>
        <v>0</v>
      </c>
      <c r="P27" s="79">
        <f>+'4.1. Samtryggingard.'!T29+'5.1. Séreignard.'!AA29</f>
        <v>0</v>
      </c>
      <c r="Q27" s="79">
        <f>+'4.1. Samtryggingard.'!U29+'5.1. Séreignard.'!AB29</f>
        <v>0</v>
      </c>
      <c r="R27" s="135">
        <f>+'4.1. Samtryggingard.'!V29</f>
        <v>0</v>
      </c>
      <c r="S27" s="79">
        <f>+'4.1. Samtryggingard.'!W29</f>
        <v>0</v>
      </c>
      <c r="T27" s="79">
        <f>+'4.1. Samtryggingard.'!X29+'5.1. Séreignard.'!AC29+'5.1. Séreignard.'!AD29</f>
        <v>0</v>
      </c>
      <c r="U27" s="79">
        <f>+'4.1. Samtryggingard.'!Y29</f>
        <v>0</v>
      </c>
      <c r="V27" s="8">
        <f>+'4.1. Samtryggingard.'!Z29+'4.1. Samtryggingard.'!AA29+'5.1. Séreignard.'!AE29+'5.1. Séreignard.'!AF29+'5.1. Séreignard.'!AG29</f>
        <v>0</v>
      </c>
      <c r="W27" s="135">
        <f>+'4.1. Samtryggingard.'!AB29+'5.1. Séreignard.'!AH29</f>
        <v>0</v>
      </c>
      <c r="X27" s="79">
        <f>+'4.1. Samtryggingard.'!AC29</f>
        <v>0</v>
      </c>
      <c r="Y27" s="8">
        <f>+'4.1. Samtryggingard.'!AD29+'5.1. Séreignard.'!AI29+'5.1. Séreignard.'!AJ29+'5.1. Séreignard.'!AK29+'5.1. Séreignard.'!AL29</f>
        <v>0</v>
      </c>
      <c r="Z27" s="135">
        <f>+'4.1. Samtryggingard.'!AE29</f>
        <v>0</v>
      </c>
      <c r="AA27" s="8">
        <f>+'4.1. Samtryggingard.'!AF29</f>
        <v>0</v>
      </c>
      <c r="AB27" s="8">
        <f>+'4.1. Samtryggingard.'!AG29</f>
        <v>0</v>
      </c>
      <c r="AC27" s="8">
        <f>+'4.1. Samtryggingard.'!AH29</f>
        <v>0</v>
      </c>
      <c r="AD27" s="8">
        <f>+'4.1. Samtryggingard.'!AI29+'4.1. Samtryggingard.'!AJ29</f>
        <v>0</v>
      </c>
      <c r="AE27" s="8">
        <f>+'4.1. Samtryggingard.'!AK29+'5.1. Séreignard.'!AM29</f>
        <v>0</v>
      </c>
      <c r="AF27" s="8">
        <f>+'4.1. Samtryggingard.'!AL29</f>
        <v>0</v>
      </c>
      <c r="AG27" s="8">
        <f>+'4.1. Samtryggingard.'!AM29</f>
        <v>0</v>
      </c>
      <c r="AH27" s="8">
        <f>+'4.1. Samtryggingard.'!AN29+'5.1. Séreignard.'!AN29</f>
        <v>0</v>
      </c>
      <c r="AI27" s="8">
        <f>+'4.1. Samtryggingard.'!AO29</f>
        <v>0</v>
      </c>
      <c r="AJ27" s="8">
        <f>+'4.1. Samtryggingard.'!AP29</f>
        <v>0</v>
      </c>
      <c r="AK27" s="8">
        <f>+'4.1. Samtryggingard.'!AQ29</f>
        <v>0</v>
      </c>
      <c r="AL27" s="8">
        <f>+'4.1. Samtryggingard.'!AR29</f>
        <v>0</v>
      </c>
      <c r="AM27" s="8">
        <f>+'4.1. Samtryggingard.'!AS29</f>
        <v>0</v>
      </c>
      <c r="AN27" s="8">
        <f>+'4.1. Samtryggingard.'!AT29</f>
        <v>0</v>
      </c>
      <c r="AO27" s="8">
        <f>+'4.1. Samtryggingard.'!AU29</f>
        <v>0</v>
      </c>
      <c r="AP27" s="8">
        <f>+'4.1. Samtryggingard.'!AV29</f>
        <v>0</v>
      </c>
      <c r="AQ27" s="8">
        <f>+'4.1. Samtryggingard.'!AW29</f>
        <v>0</v>
      </c>
      <c r="AR27" s="8">
        <f>+'4.1. Samtryggingard.'!AX29</f>
        <v>0</v>
      </c>
      <c r="AS27" s="8">
        <f>+'4.1. Samtryggingard.'!AY29</f>
        <v>0</v>
      </c>
      <c r="AT27" s="8">
        <f>+'4.1. Samtryggingard.'!AZ29</f>
        <v>0</v>
      </c>
      <c r="AU27" s="8">
        <f>+'4.1. Samtryggingard.'!BA29</f>
        <v>0</v>
      </c>
      <c r="AV27" s="8">
        <f>+'4.1. Samtryggingard.'!BB29</f>
        <v>0</v>
      </c>
      <c r="AW27" s="8">
        <f>+'4.1. Samtryggingard.'!BC29</f>
        <v>0</v>
      </c>
      <c r="AX27" s="18"/>
      <c r="AY27" s="18">
        <f t="shared" si="3"/>
        <v>16484.07</v>
      </c>
      <c r="AZ27" s="7"/>
    </row>
    <row r="28" spans="1:52" ht="12.75">
      <c r="A28" s="17" t="s">
        <v>283</v>
      </c>
      <c r="B28" s="8">
        <f>+'4.1. Samtryggingard.'!B30+'4.1. Samtryggingard.'!C30+'5.1. Séreignard.'!B30+'5.1. Séreignard.'!C30+'5.1. Séreignard.'!D30</f>
        <v>0</v>
      </c>
      <c r="C28" s="8">
        <f>+'4.1. Samtryggingard.'!D30+'5.1. Séreignard.'!E30</f>
        <v>0</v>
      </c>
      <c r="D28" s="8">
        <f>+'4.1. Samtryggingard.'!E30+'5.1. Séreignard.'!F30+'5.1. Séreignard.'!G30</f>
        <v>3112.752</v>
      </c>
      <c r="E28" s="8">
        <f>+'4.1. Samtryggingard.'!F30+'5.1. Séreignard.'!H30+'5.1. Séreignard.'!I30+'5.1. Séreignard.'!J30</f>
        <v>0</v>
      </c>
      <c r="F28" s="8">
        <f>+'4.1. Samtryggingard.'!G30+'4.1. Samtryggingard.'!H30+'5.1. Séreignard.'!K30+'5.1. Séreignard.'!L30</f>
        <v>0</v>
      </c>
      <c r="G28" s="18">
        <f>+'4.1. Samtryggingard.'!I30+'5.1. Séreignard.'!M30+'5.1. Séreignard.'!N30</f>
        <v>0</v>
      </c>
      <c r="H28" s="8">
        <f>+'4.1. Samtryggingard.'!J30+'5.1. Séreignard.'!O30+'5.1. Séreignard.'!P30+'5.1. Séreignard.'!Q30</f>
        <v>0</v>
      </c>
      <c r="I28" s="8">
        <f>+'4.1. Samtryggingard.'!K30+'5.1. Séreignard.'!R30</f>
        <v>0</v>
      </c>
      <c r="J28" s="8">
        <f>+'4.1. Samtryggingard.'!L30+'5.1. Séreignard.'!S30+'5.1. Séreignard.'!T30+'5.1. Séreignard.'!U30+'5.1. Séreignard.'!V30</f>
        <v>0</v>
      </c>
      <c r="K28" s="8">
        <f>+'4.1. Samtryggingard.'!M30+'5.1. Séreignard.'!W30+'5.1. Séreignard.'!X30</f>
        <v>0</v>
      </c>
      <c r="L28" s="8">
        <f>+'4.1. Samtryggingard.'!N30+'4.1. Samtryggingard.'!O30</f>
        <v>0</v>
      </c>
      <c r="M28" s="8">
        <f>+'4.1. Samtryggingard.'!P30+'4.1. Samtryggingard.'!Q30+'5.1. Séreignard.'!Y30</f>
        <v>0</v>
      </c>
      <c r="N28" s="79">
        <f>+'4.1. Samtryggingard.'!R30</f>
        <v>0</v>
      </c>
      <c r="O28" s="8">
        <f>+'4.1. Samtryggingard.'!S30+'5.1. Séreignard.'!Z30</f>
        <v>0</v>
      </c>
      <c r="P28" s="79">
        <f>+'4.1. Samtryggingard.'!T30+'5.1. Séreignard.'!AA30</f>
        <v>0</v>
      </c>
      <c r="Q28" s="79">
        <f>+'4.1. Samtryggingard.'!U30+'5.1. Séreignard.'!AB30</f>
        <v>0</v>
      </c>
      <c r="R28" s="135">
        <f>+'4.1. Samtryggingard.'!V30</f>
        <v>0</v>
      </c>
      <c r="S28" s="79">
        <f>+'4.1. Samtryggingard.'!W30</f>
        <v>0</v>
      </c>
      <c r="T28" s="79">
        <f>+'4.1. Samtryggingard.'!X30+'5.1. Séreignard.'!AC30+'5.1. Séreignard.'!AD30</f>
        <v>3148</v>
      </c>
      <c r="U28" s="79">
        <f>+'4.1. Samtryggingard.'!Y30</f>
        <v>0</v>
      </c>
      <c r="V28" s="8">
        <f>+'4.1. Samtryggingard.'!Z30+'4.1. Samtryggingard.'!AA30+'5.1. Séreignard.'!AE30+'5.1. Séreignard.'!AF30+'5.1. Séreignard.'!AG30</f>
        <v>0</v>
      </c>
      <c r="W28" s="135">
        <f>+'4.1. Samtryggingard.'!AB30+'5.1. Séreignard.'!AH30</f>
        <v>0</v>
      </c>
      <c r="X28" s="79">
        <f>+'4.1. Samtryggingard.'!AC30</f>
        <v>0</v>
      </c>
      <c r="Y28" s="8">
        <f>+'4.1. Samtryggingard.'!AD30+'5.1. Séreignard.'!AI30+'5.1. Séreignard.'!AJ30+'5.1. Séreignard.'!AK30+'5.1. Séreignard.'!AL30</f>
        <v>0</v>
      </c>
      <c r="Z28" s="135">
        <f>+'4.1. Samtryggingard.'!AE30</f>
        <v>0</v>
      </c>
      <c r="AA28" s="8">
        <f>+'4.1. Samtryggingard.'!AF30</f>
        <v>0</v>
      </c>
      <c r="AB28" s="8">
        <f>+'4.1. Samtryggingard.'!AG30</f>
        <v>0</v>
      </c>
      <c r="AC28" s="8">
        <f>+'4.1. Samtryggingard.'!AH30</f>
        <v>0</v>
      </c>
      <c r="AD28" s="8">
        <f>+'4.1. Samtryggingard.'!AI30+'4.1. Samtryggingard.'!AJ30</f>
        <v>0</v>
      </c>
      <c r="AE28" s="8">
        <f>+'4.1. Samtryggingard.'!AK30+'5.1. Séreignard.'!AM30</f>
        <v>0</v>
      </c>
      <c r="AF28" s="8">
        <f>+'4.1. Samtryggingard.'!AL30</f>
        <v>0</v>
      </c>
      <c r="AG28" s="8">
        <f>+'4.1. Samtryggingard.'!AM30</f>
        <v>0</v>
      </c>
      <c r="AH28" s="8">
        <f>+'4.1. Samtryggingard.'!AN30+'5.1. Séreignard.'!AN30</f>
        <v>0</v>
      </c>
      <c r="AI28" s="8">
        <f>+'4.1. Samtryggingard.'!AO30</f>
        <v>0</v>
      </c>
      <c r="AJ28" s="8">
        <f>+'4.1. Samtryggingard.'!AP30</f>
        <v>0</v>
      </c>
      <c r="AK28" s="8">
        <f>+'4.1. Samtryggingard.'!AQ30</f>
        <v>0</v>
      </c>
      <c r="AL28" s="8">
        <f>+'4.1. Samtryggingard.'!AR30</f>
        <v>0</v>
      </c>
      <c r="AM28" s="8">
        <f>+'4.1. Samtryggingard.'!AS30</f>
        <v>0</v>
      </c>
      <c r="AN28" s="8">
        <f>+'4.1. Samtryggingard.'!AT30</f>
        <v>0</v>
      </c>
      <c r="AO28" s="8">
        <f>+'4.1. Samtryggingard.'!AU30</f>
        <v>0</v>
      </c>
      <c r="AP28" s="8">
        <f>+'4.1. Samtryggingard.'!AV30</f>
        <v>0</v>
      </c>
      <c r="AQ28" s="8">
        <f>+'4.1. Samtryggingard.'!AW30</f>
        <v>0</v>
      </c>
      <c r="AR28" s="8">
        <f>+'4.1. Samtryggingard.'!AX30</f>
        <v>0</v>
      </c>
      <c r="AS28" s="8">
        <f>+'4.1. Samtryggingard.'!AY30</f>
        <v>0</v>
      </c>
      <c r="AT28" s="8">
        <f>+'4.1. Samtryggingard.'!AZ30</f>
        <v>0</v>
      </c>
      <c r="AU28" s="8">
        <f>+'4.1. Samtryggingard.'!BA30</f>
        <v>0</v>
      </c>
      <c r="AV28" s="8">
        <f>+'4.1. Samtryggingard.'!BB30</f>
        <v>0</v>
      </c>
      <c r="AW28" s="8">
        <f>+'4.1. Samtryggingard.'!BC30</f>
        <v>0</v>
      </c>
      <c r="AX28" s="18"/>
      <c r="AY28" s="18">
        <f t="shared" si="3"/>
        <v>6260.752</v>
      </c>
      <c r="AZ28" s="7"/>
    </row>
    <row r="29" spans="1:52" ht="12.75">
      <c r="A29" s="17" t="s">
        <v>284</v>
      </c>
      <c r="B29" s="8">
        <f>+'4.1. Samtryggingard.'!B31+'4.1. Samtryggingard.'!C31+'5.1. Séreignard.'!B31+'5.1. Séreignard.'!C31+'5.1. Séreignard.'!D31</f>
        <v>-10137</v>
      </c>
      <c r="C29" s="8">
        <f>+'4.1. Samtryggingard.'!D31+'5.1. Séreignard.'!E31</f>
        <v>-2671</v>
      </c>
      <c r="D29" s="8">
        <f>+'4.1. Samtryggingard.'!E31+'5.1. Séreignard.'!F31+'5.1. Séreignard.'!G31</f>
        <v>-40000</v>
      </c>
      <c r="E29" s="8">
        <f>+'4.1. Samtryggingard.'!F31+'5.1. Séreignard.'!H31+'5.1. Séreignard.'!I31+'5.1. Séreignard.'!J31</f>
        <v>-12433</v>
      </c>
      <c r="F29" s="8">
        <f>+'4.1. Samtryggingard.'!G31+'4.1. Samtryggingard.'!H31+'5.1. Séreignard.'!K31+'5.1. Séreignard.'!L31</f>
        <v>-29244</v>
      </c>
      <c r="G29" s="18">
        <f>+'4.1. Samtryggingard.'!I31+'5.1. Séreignard.'!M31+'5.1. Séreignard.'!N31</f>
        <v>-7090</v>
      </c>
      <c r="H29" s="8">
        <f>+'4.1. Samtryggingard.'!J31+'5.1. Séreignard.'!O31+'5.1. Séreignard.'!P31+'5.1. Séreignard.'!Q31</f>
        <v>0</v>
      </c>
      <c r="I29" s="8">
        <f>+'4.1. Samtryggingard.'!K31+'5.1. Séreignard.'!R31</f>
        <v>-1819</v>
      </c>
      <c r="J29" s="8">
        <f>+'4.1. Samtryggingard.'!L31+'5.1. Séreignard.'!S31+'5.1. Séreignard.'!T31+'5.1. Séreignard.'!U31+'5.1. Séreignard.'!V31</f>
        <v>0</v>
      </c>
      <c r="K29" s="8">
        <f>+'4.1. Samtryggingard.'!M31+'5.1. Séreignard.'!W31+'5.1. Séreignard.'!X31</f>
        <v>6502</v>
      </c>
      <c r="L29" s="8">
        <f>+'4.1. Samtryggingard.'!N31+'4.1. Samtryggingard.'!O31</f>
        <v>0</v>
      </c>
      <c r="M29" s="8">
        <f>+'4.1. Samtryggingard.'!P31+'4.1. Samtryggingard.'!Q31+'5.1. Séreignard.'!Y31</f>
        <v>-45021</v>
      </c>
      <c r="N29" s="79">
        <f>+'4.1. Samtryggingard.'!R31</f>
        <v>11426</v>
      </c>
      <c r="O29" s="8">
        <f>+'4.1. Samtryggingard.'!S31+'5.1. Séreignard.'!Z31</f>
        <v>-18000</v>
      </c>
      <c r="P29" s="79">
        <f>+'4.1. Samtryggingard.'!T31+'5.1. Séreignard.'!AA31</f>
        <v>-6699</v>
      </c>
      <c r="Q29" s="79">
        <f>+'4.1. Samtryggingard.'!U31+'5.1. Séreignard.'!AB31</f>
        <v>0</v>
      </c>
      <c r="R29" s="135">
        <f>+'4.1. Samtryggingard.'!V31</f>
        <v>-1000</v>
      </c>
      <c r="S29" s="79">
        <f>+'4.1. Samtryggingard.'!W31</f>
        <v>-6806</v>
      </c>
      <c r="T29" s="79">
        <f>+'4.1. Samtryggingard.'!X31+'5.1. Séreignard.'!AC31+'5.1. Séreignard.'!AD31</f>
        <v>0</v>
      </c>
      <c r="U29" s="79">
        <f>+'4.1. Samtryggingard.'!Y31</f>
        <v>0</v>
      </c>
      <c r="V29" s="8">
        <f>+'4.1. Samtryggingard.'!Z31+'4.1. Samtryggingard.'!AA31+'5.1. Séreignard.'!AE31+'5.1. Séreignard.'!AF31+'5.1. Séreignard.'!AG31</f>
        <v>12545.907</v>
      </c>
      <c r="W29" s="135">
        <f>+'4.1. Samtryggingard.'!AB31+'5.1. Séreignard.'!AH31</f>
        <v>7027</v>
      </c>
      <c r="X29" s="79">
        <f>+'4.1. Samtryggingard.'!AC31</f>
        <v>28202.25</v>
      </c>
      <c r="Y29" s="8">
        <f>+'4.1. Samtryggingard.'!AD31+'5.1. Séreignard.'!AI31+'5.1. Séreignard.'!AJ31+'5.1. Séreignard.'!AK31+'5.1. Séreignard.'!AL31</f>
        <v>0</v>
      </c>
      <c r="Z29" s="135">
        <f>+'4.1. Samtryggingard.'!AE31</f>
        <v>0</v>
      </c>
      <c r="AA29" s="8">
        <f>+'4.1. Samtryggingard.'!AF31</f>
        <v>0</v>
      </c>
      <c r="AB29" s="8">
        <f>+'4.1. Samtryggingard.'!AG31</f>
        <v>-3500</v>
      </c>
      <c r="AC29" s="8">
        <f>+'4.1. Samtryggingard.'!AH31</f>
        <v>0</v>
      </c>
      <c r="AD29" s="8">
        <f>+'4.1. Samtryggingard.'!AI31+'4.1. Samtryggingard.'!AJ31</f>
        <v>0</v>
      </c>
      <c r="AE29" s="8">
        <f>+'4.1. Samtryggingard.'!AK31+'5.1. Séreignard.'!AM31</f>
        <v>-5051</v>
      </c>
      <c r="AF29" s="8">
        <f>+'4.1. Samtryggingard.'!AL31</f>
        <v>0</v>
      </c>
      <c r="AG29" s="8">
        <f>+'4.1. Samtryggingard.'!AM31</f>
        <v>0</v>
      </c>
      <c r="AH29" s="8">
        <f>+'4.1. Samtryggingard.'!AN31+'5.1. Séreignard.'!AN31</f>
        <v>4328</v>
      </c>
      <c r="AI29" s="8">
        <f>+'4.1. Samtryggingard.'!AO31</f>
        <v>0</v>
      </c>
      <c r="AJ29" s="8">
        <f>+'4.1. Samtryggingard.'!AP31</f>
        <v>0</v>
      </c>
      <c r="AK29" s="8">
        <f>+'4.1. Samtryggingard.'!AQ31</f>
        <v>984</v>
      </c>
      <c r="AL29" s="8">
        <f>+'4.1. Samtryggingard.'!AR31</f>
        <v>1401</v>
      </c>
      <c r="AM29" s="8">
        <f>+'4.1. Samtryggingard.'!AS31</f>
        <v>0</v>
      </c>
      <c r="AN29" s="8">
        <f>+'4.1. Samtryggingard.'!AT31</f>
        <v>0</v>
      </c>
      <c r="AO29" s="8">
        <f>+'4.1. Samtryggingard.'!AU31</f>
        <v>2904.234</v>
      </c>
      <c r="AP29" s="8">
        <f>+'4.1. Samtryggingard.'!AV31</f>
        <v>0</v>
      </c>
      <c r="AQ29" s="8">
        <f>+'4.1. Samtryggingard.'!AW31</f>
        <v>0</v>
      </c>
      <c r="AR29" s="8">
        <f>+'4.1. Samtryggingard.'!AX31</f>
        <v>0</v>
      </c>
      <c r="AS29" s="8">
        <f>+'4.1. Samtryggingard.'!AY31</f>
        <v>0</v>
      </c>
      <c r="AT29" s="8">
        <f>+'4.1. Samtryggingard.'!AZ31</f>
        <v>0</v>
      </c>
      <c r="AU29" s="8">
        <f>+'4.1. Samtryggingard.'!BA31</f>
        <v>110</v>
      </c>
      <c r="AV29" s="8">
        <f>+'4.1. Samtryggingard.'!BB31</f>
        <v>0</v>
      </c>
      <c r="AW29" s="8">
        <f>+'4.1. Samtryggingard.'!BC31</f>
        <v>0</v>
      </c>
      <c r="AX29" s="18"/>
      <c r="AY29" s="18">
        <f t="shared" si="3"/>
        <v>-114040.609</v>
      </c>
      <c r="AZ29" s="7"/>
    </row>
    <row r="30" spans="1:52" ht="12.75">
      <c r="A30" s="17" t="s">
        <v>285</v>
      </c>
      <c r="B30" s="8">
        <f>+'4.1. Samtryggingard.'!B32+'4.1. Samtryggingard.'!C32+'5.1. Séreignard.'!B32+'5.1. Séreignard.'!C32+'5.1. Séreignard.'!D32</f>
        <v>0</v>
      </c>
      <c r="C30" s="8">
        <f>+'4.1. Samtryggingard.'!D32+'5.1. Séreignard.'!E32</f>
        <v>0</v>
      </c>
      <c r="D30" s="8">
        <f>+'4.1. Samtryggingard.'!E32+'5.1. Séreignard.'!F32+'5.1. Séreignard.'!G32</f>
        <v>0</v>
      </c>
      <c r="E30" s="8">
        <f>+'4.1. Samtryggingard.'!F32+'5.1. Séreignard.'!H32+'5.1. Séreignard.'!I32+'5.1. Séreignard.'!J32</f>
        <v>0</v>
      </c>
      <c r="F30" s="8">
        <f>+'4.1. Samtryggingard.'!G32+'4.1. Samtryggingard.'!H32+'5.1. Séreignard.'!K32+'5.1. Séreignard.'!L32</f>
        <v>0</v>
      </c>
      <c r="G30" s="18">
        <f>+'4.1. Samtryggingard.'!I32+'5.1. Séreignard.'!M32+'5.1. Séreignard.'!N32</f>
        <v>940039</v>
      </c>
      <c r="H30" s="8">
        <f>+'4.1. Samtryggingard.'!J32+'5.1. Séreignard.'!O32+'5.1. Séreignard.'!P32+'5.1. Séreignard.'!Q32</f>
        <v>0</v>
      </c>
      <c r="I30" s="8">
        <f>+'4.1. Samtryggingard.'!K32+'5.1. Séreignard.'!R32</f>
        <v>0</v>
      </c>
      <c r="J30" s="8">
        <f>+'4.1. Samtryggingard.'!L32+'5.1. Séreignard.'!S32+'5.1. Séreignard.'!T32+'5.1. Séreignard.'!U32+'5.1. Séreignard.'!V32</f>
        <v>0</v>
      </c>
      <c r="K30" s="8">
        <f>+'4.1. Samtryggingard.'!M32+'5.1. Séreignard.'!W32+'5.1. Séreignard.'!X32</f>
        <v>0</v>
      </c>
      <c r="L30" s="8">
        <f>+'4.1. Samtryggingard.'!N32+'4.1. Samtryggingard.'!O32</f>
        <v>0</v>
      </c>
      <c r="M30" s="8">
        <f>+'4.1. Samtryggingard.'!P32+'4.1. Samtryggingard.'!Q32+'5.1. Séreignard.'!Y32</f>
        <v>0</v>
      </c>
      <c r="N30" s="79">
        <f>+'4.1. Samtryggingard.'!R32</f>
        <v>0</v>
      </c>
      <c r="O30" s="8">
        <f>+'4.1. Samtryggingard.'!S32+'5.1. Séreignard.'!Z32</f>
        <v>0</v>
      </c>
      <c r="P30" s="79">
        <f>+'4.1. Samtryggingard.'!T32+'5.1. Séreignard.'!AA32</f>
        <v>0</v>
      </c>
      <c r="Q30" s="79">
        <f>+'4.1. Samtryggingard.'!U32+'5.1. Séreignard.'!AB32</f>
        <v>0</v>
      </c>
      <c r="R30" s="135">
        <f>+'4.1. Samtryggingard.'!V32</f>
        <v>0</v>
      </c>
      <c r="S30" s="79">
        <f>+'4.1. Samtryggingard.'!W32</f>
        <v>0</v>
      </c>
      <c r="T30" s="79">
        <f>+'4.1. Samtryggingard.'!X32+'5.1. Séreignard.'!AC32+'5.1. Séreignard.'!AD32</f>
        <v>0</v>
      </c>
      <c r="U30" s="79">
        <f>+'4.1. Samtryggingard.'!Y32</f>
        <v>0</v>
      </c>
      <c r="V30" s="8">
        <f>+'4.1. Samtryggingard.'!Z32+'4.1. Samtryggingard.'!AA32+'5.1. Séreignard.'!AE32+'5.1. Séreignard.'!AF32+'5.1. Séreignard.'!AG32</f>
        <v>0</v>
      </c>
      <c r="W30" s="135">
        <f>+'4.1. Samtryggingard.'!AB32+'5.1. Séreignard.'!AH32</f>
        <v>0</v>
      </c>
      <c r="X30" s="79">
        <f>+'4.1. Samtryggingard.'!AC32</f>
        <v>0</v>
      </c>
      <c r="Y30" s="8">
        <f>+'4.1. Samtryggingard.'!AD32+'5.1. Séreignard.'!AI32+'5.1. Séreignard.'!AJ32+'5.1. Séreignard.'!AK32+'5.1. Séreignard.'!AL32</f>
        <v>0</v>
      </c>
      <c r="Z30" s="135">
        <f>+'4.1. Samtryggingard.'!AE32</f>
        <v>0</v>
      </c>
      <c r="AA30" s="8">
        <f>+'4.1. Samtryggingard.'!AF32</f>
        <v>0</v>
      </c>
      <c r="AB30" s="8">
        <f>+'4.1. Samtryggingard.'!AG32</f>
        <v>0</v>
      </c>
      <c r="AC30" s="8">
        <f>+'4.1. Samtryggingard.'!AH32</f>
        <v>0</v>
      </c>
      <c r="AD30" s="8">
        <f>+'4.1. Samtryggingard.'!AI32+'4.1. Samtryggingard.'!AJ32</f>
        <v>0</v>
      </c>
      <c r="AE30" s="8">
        <f>+'4.1. Samtryggingard.'!AK32+'5.1. Séreignard.'!AM32</f>
        <v>0</v>
      </c>
      <c r="AF30" s="8">
        <f>+'4.1. Samtryggingard.'!AL32</f>
        <v>0</v>
      </c>
      <c r="AG30" s="8">
        <f>+'4.1. Samtryggingard.'!AM32</f>
        <v>0</v>
      </c>
      <c r="AH30" s="8">
        <f>+'4.1. Samtryggingard.'!AN32+'5.1. Séreignard.'!AN32</f>
        <v>-5147</v>
      </c>
      <c r="AI30" s="8">
        <f>+'4.1. Samtryggingard.'!AO32</f>
        <v>0</v>
      </c>
      <c r="AJ30" s="8">
        <f>+'4.1. Samtryggingard.'!AP32</f>
        <v>0</v>
      </c>
      <c r="AK30" s="8">
        <f>+'4.1. Samtryggingard.'!AQ32</f>
        <v>0</v>
      </c>
      <c r="AL30" s="8">
        <f>+'4.1. Samtryggingard.'!AR32</f>
        <v>16965</v>
      </c>
      <c r="AM30" s="8">
        <f>+'4.1. Samtryggingard.'!AS32</f>
        <v>0</v>
      </c>
      <c r="AN30" s="8">
        <f>+'4.1. Samtryggingard.'!AT32</f>
        <v>0</v>
      </c>
      <c r="AO30" s="8">
        <f>+'4.1. Samtryggingard.'!AU32</f>
        <v>0</v>
      </c>
      <c r="AP30" s="8">
        <f>+'4.1. Samtryggingard.'!AV32</f>
        <v>0</v>
      </c>
      <c r="AQ30" s="8">
        <f>+'4.1. Samtryggingard.'!AW32</f>
        <v>0</v>
      </c>
      <c r="AR30" s="8">
        <f>+'4.1. Samtryggingard.'!AX32</f>
        <v>0</v>
      </c>
      <c r="AS30" s="8">
        <f>+'4.1. Samtryggingard.'!AY32</f>
        <v>0</v>
      </c>
      <c r="AT30" s="8">
        <f>+'4.1. Samtryggingard.'!AZ32</f>
        <v>0</v>
      </c>
      <c r="AU30" s="8">
        <f>+'4.1. Samtryggingard.'!BA32</f>
        <v>0</v>
      </c>
      <c r="AV30" s="8">
        <f>+'4.1. Samtryggingard.'!BB32</f>
        <v>0</v>
      </c>
      <c r="AW30" s="8">
        <f>+'4.1. Samtryggingard.'!BC32</f>
        <v>0</v>
      </c>
      <c r="AX30" s="18"/>
      <c r="AY30" s="18">
        <f t="shared" si="3"/>
        <v>951857</v>
      </c>
      <c r="AZ30" s="7"/>
    </row>
    <row r="31" spans="1:52" ht="8.25" customHeight="1">
      <c r="A31" s="56"/>
      <c r="C31" s="11"/>
      <c r="D31" s="8"/>
      <c r="E31" s="11"/>
      <c r="F31" s="11"/>
      <c r="G31" s="8"/>
      <c r="M31" s="11"/>
      <c r="N31" s="19"/>
      <c r="Q31" s="11"/>
      <c r="R31" s="135"/>
      <c r="S31" s="11"/>
      <c r="T31" s="79"/>
      <c r="U31" s="11"/>
      <c r="W31" s="135"/>
      <c r="X31" s="11"/>
      <c r="AB31" s="11"/>
      <c r="AC31" s="19"/>
      <c r="AF31" s="11"/>
      <c r="AI31" s="50"/>
      <c r="AN31" s="11"/>
      <c r="AO31" s="11"/>
      <c r="AP31" s="11"/>
      <c r="AQ31" s="11"/>
      <c r="AS31" s="11"/>
      <c r="AT31" s="11"/>
      <c r="AU31" s="11"/>
      <c r="AW31" s="11"/>
      <c r="AX31" s="18"/>
      <c r="AZ31" s="7"/>
    </row>
    <row r="32" spans="1:52" ht="12.75">
      <c r="A32" s="217" t="s">
        <v>286</v>
      </c>
      <c r="B32" s="7">
        <f>SUM(B22:B31)</f>
        <v>21527197</v>
      </c>
      <c r="C32" s="7">
        <f aca="true" t="shared" si="4" ref="C32:AW32">SUM(C22:C31)</f>
        <v>20990951</v>
      </c>
      <c r="D32" s="7">
        <f t="shared" si="4"/>
        <v>11875887.467</v>
      </c>
      <c r="E32" s="7">
        <f t="shared" si="4"/>
        <v>11845845</v>
      </c>
      <c r="F32" s="7">
        <f t="shared" si="4"/>
        <v>5986471</v>
      </c>
      <c r="G32" s="7">
        <f t="shared" si="4"/>
        <v>6061662</v>
      </c>
      <c r="H32" s="7">
        <f t="shared" si="4"/>
        <v>4085897</v>
      </c>
      <c r="I32" s="7">
        <f t="shared" si="4"/>
        <v>4249248</v>
      </c>
      <c r="J32" s="7">
        <f t="shared" si="4"/>
        <v>3343095.649</v>
      </c>
      <c r="K32" s="7">
        <f t="shared" si="4"/>
        <v>3137649</v>
      </c>
      <c r="L32" s="7">
        <f t="shared" si="4"/>
        <v>2916499</v>
      </c>
      <c r="M32" s="7">
        <f t="shared" si="4"/>
        <v>4122343</v>
      </c>
      <c r="N32" s="7">
        <f t="shared" si="4"/>
        <v>2676468.8</v>
      </c>
      <c r="O32" s="7">
        <f t="shared" si="4"/>
        <v>2112186</v>
      </c>
      <c r="P32" s="7">
        <f t="shared" si="4"/>
        <v>2629712.168</v>
      </c>
      <c r="Q32" s="7">
        <f t="shared" si="4"/>
        <v>1663807</v>
      </c>
      <c r="R32" s="7">
        <f t="shared" si="4"/>
        <v>1887943</v>
      </c>
      <c r="S32" s="7">
        <f t="shared" si="4"/>
        <v>1456689</v>
      </c>
      <c r="T32" s="7">
        <f t="shared" si="4"/>
        <v>2050671</v>
      </c>
      <c r="U32" s="7">
        <f t="shared" si="4"/>
        <v>1473027</v>
      </c>
      <c r="V32" s="7">
        <f t="shared" si="4"/>
        <v>942758.197</v>
      </c>
      <c r="W32" s="7">
        <f t="shared" si="4"/>
        <v>1514372</v>
      </c>
      <c r="X32" s="7">
        <f t="shared" si="4"/>
        <v>802021.709</v>
      </c>
      <c r="Y32" s="7">
        <f t="shared" si="4"/>
        <v>1010530.2869999999</v>
      </c>
      <c r="Z32" s="7">
        <f t="shared" si="4"/>
        <v>945809</v>
      </c>
      <c r="AA32" s="7">
        <f t="shared" si="4"/>
        <v>1761158.371</v>
      </c>
      <c r="AB32" s="7">
        <f t="shared" si="4"/>
        <v>748761</v>
      </c>
      <c r="AC32" s="7">
        <f t="shared" si="4"/>
        <v>466131</v>
      </c>
      <c r="AD32" s="7">
        <f t="shared" si="4"/>
        <v>556853</v>
      </c>
      <c r="AE32" s="7">
        <f t="shared" si="4"/>
        <v>249598</v>
      </c>
      <c r="AF32" s="7">
        <f t="shared" si="4"/>
        <v>232296</v>
      </c>
      <c r="AG32" s="7">
        <f t="shared" si="4"/>
        <v>274350</v>
      </c>
      <c r="AH32" s="7">
        <f t="shared" si="4"/>
        <v>206734</v>
      </c>
      <c r="AI32" s="7">
        <f t="shared" si="4"/>
        <v>152303</v>
      </c>
      <c r="AJ32" s="7">
        <f t="shared" si="4"/>
        <v>153601</v>
      </c>
      <c r="AK32" s="7">
        <f t="shared" si="4"/>
        <v>178696</v>
      </c>
      <c r="AL32" s="7">
        <f t="shared" si="4"/>
        <v>178548</v>
      </c>
      <c r="AM32" s="7">
        <f t="shared" si="4"/>
        <v>116242</v>
      </c>
      <c r="AN32" s="7">
        <f t="shared" si="4"/>
        <v>79147.793</v>
      </c>
      <c r="AO32" s="7">
        <f t="shared" si="4"/>
        <v>59992.829</v>
      </c>
      <c r="AP32" s="7">
        <f t="shared" si="4"/>
        <v>61710</v>
      </c>
      <c r="AQ32" s="7">
        <f t="shared" si="4"/>
        <v>54774</v>
      </c>
      <c r="AR32" s="7">
        <f t="shared" si="4"/>
        <v>45401</v>
      </c>
      <c r="AS32" s="7">
        <f t="shared" si="4"/>
        <v>41970.878</v>
      </c>
      <c r="AT32" s="7">
        <f t="shared" si="4"/>
        <v>23419</v>
      </c>
      <c r="AU32" s="7">
        <f t="shared" si="4"/>
        <v>6984</v>
      </c>
      <c r="AV32" s="7">
        <f t="shared" si="4"/>
        <v>641</v>
      </c>
      <c r="AW32" s="7">
        <f t="shared" si="4"/>
        <v>2497</v>
      </c>
      <c r="AX32" s="18"/>
      <c r="AY32" s="18">
        <f>SUM(B32:AW32)</f>
        <v>126960549.14800002</v>
      </c>
      <c r="AZ32" s="7"/>
    </row>
    <row r="33" spans="1:52" ht="8.25" customHeight="1">
      <c r="A33" s="15"/>
      <c r="C33" s="11"/>
      <c r="D33" s="8"/>
      <c r="E33" s="11"/>
      <c r="F33" s="11"/>
      <c r="M33" s="11"/>
      <c r="N33" s="19"/>
      <c r="Q33" s="11"/>
      <c r="R33" s="135"/>
      <c r="S33" s="11"/>
      <c r="T33" s="11"/>
      <c r="U33" s="11"/>
      <c r="W33" s="135"/>
      <c r="X33" s="11"/>
      <c r="Z33" s="11"/>
      <c r="AB33" s="11"/>
      <c r="AC33" s="19"/>
      <c r="AF33" s="11"/>
      <c r="AG33" s="11"/>
      <c r="AI33" s="50"/>
      <c r="AL33" s="11"/>
      <c r="AN33" s="11"/>
      <c r="AO33" s="11"/>
      <c r="AP33" s="11"/>
      <c r="AQ33" s="11"/>
      <c r="AS33" s="11"/>
      <c r="AT33" s="11"/>
      <c r="AU33" s="11"/>
      <c r="AW33" s="11"/>
      <c r="AX33" s="18"/>
      <c r="AZ33" s="7"/>
    </row>
    <row r="34" spans="1:52" ht="12.75">
      <c r="A34" s="15" t="s">
        <v>287</v>
      </c>
      <c r="C34" s="11"/>
      <c r="D34" s="8"/>
      <c r="E34" s="11"/>
      <c r="F34" s="11"/>
      <c r="G34" s="7"/>
      <c r="M34" s="11"/>
      <c r="N34" s="19"/>
      <c r="Q34" s="11"/>
      <c r="R34" s="135"/>
      <c r="S34" s="11"/>
      <c r="T34" s="11"/>
      <c r="U34" s="11"/>
      <c r="W34" s="135"/>
      <c r="X34" s="11"/>
      <c r="Z34" s="11"/>
      <c r="AB34" s="11"/>
      <c r="AC34" s="19"/>
      <c r="AF34" s="11"/>
      <c r="AG34" s="11"/>
      <c r="AI34" s="50"/>
      <c r="AL34" s="11"/>
      <c r="AN34" s="11"/>
      <c r="AO34" s="11"/>
      <c r="AP34" s="11"/>
      <c r="AQ34" s="11"/>
      <c r="AS34" s="11"/>
      <c r="AT34" s="11"/>
      <c r="AU34" s="11"/>
      <c r="AW34" s="11"/>
      <c r="AX34" s="18"/>
      <c r="AZ34" s="7"/>
    </row>
    <row r="35" spans="1:52" ht="12.75">
      <c r="A35" s="17" t="s">
        <v>288</v>
      </c>
      <c r="B35" s="8">
        <f>+'4.1. Samtryggingard.'!B36+'4.1. Samtryggingard.'!C36+'5.1. Séreignard.'!B36+'5.1. Séreignard.'!C36+'5.1. Séreignard.'!D36</f>
        <v>146362.5</v>
      </c>
      <c r="C35" s="8">
        <f>+'4.1. Samtryggingard.'!D36+'5.1. Séreignard.'!E36</f>
        <v>157454</v>
      </c>
      <c r="D35" s="8">
        <f>+'4.1. Samtryggingard.'!E36+'5.1. Séreignard.'!F36+'5.1. Séreignard.'!G36</f>
        <v>46514</v>
      </c>
      <c r="E35" s="79">
        <f>+'4.1. Samtryggingard.'!F36+'5.1. Séreignard.'!H36+'5.1. Séreignard.'!I36+'5.1. Séreignard.'!J36</f>
        <v>30221</v>
      </c>
      <c r="F35" s="79">
        <f>+'4.1. Samtryggingard.'!G36+'4.1. Samtryggingard.'!H36+'5.1. Séreignard.'!K36+'5.1. Séreignard.'!L36</f>
        <v>90294</v>
      </c>
      <c r="G35" s="18">
        <f>+'4.1. Samtryggingard.'!I36+'5.1. Séreignard.'!M36+'5.1. Séreignard.'!N36</f>
        <v>28579</v>
      </c>
      <c r="H35" s="8">
        <f>+'4.1. Samtryggingard.'!J36+'5.1. Séreignard.'!O36+'5.1. Séreignard.'!P36+'5.1. Séreignard.'!Q36</f>
        <v>116228</v>
      </c>
      <c r="I35" s="8">
        <f>+'4.1. Samtryggingard.'!K36+'5.1. Séreignard.'!R36</f>
        <v>26706</v>
      </c>
      <c r="J35" s="8">
        <f>+'4.1. Samtryggingard.'!L36+'5.1. Séreignard.'!S36+'5.1. Séreignard.'!T36+'5.1. Séreignard.'!U36+'5.1. Séreignard.'!V36</f>
        <v>32106.786483840002</v>
      </c>
      <c r="K35" s="8">
        <f>+'4.1. Samtryggingard.'!M36+'5.1. Séreignard.'!W36+'5.1. Séreignard.'!X36</f>
        <v>40163</v>
      </c>
      <c r="L35" s="8">
        <f>+'4.1. Samtryggingard.'!N36+'4.1. Samtryggingard.'!O36</f>
        <v>7683</v>
      </c>
      <c r="M35" s="8">
        <f>+'4.1. Samtryggingard.'!P36+'4.1. Samtryggingard.'!Q36+'5.1. Séreignard.'!Y36</f>
        <v>29058</v>
      </c>
      <c r="N35" s="79">
        <f>+'4.1. Samtryggingard.'!R36</f>
        <v>10542</v>
      </c>
      <c r="O35" s="8">
        <f>+'4.1. Samtryggingard.'!S36+'5.1. Séreignard.'!Z36</f>
        <v>29326</v>
      </c>
      <c r="P35" s="8">
        <f>+'4.1. Samtryggingard.'!T36+'5.1. Séreignard.'!AA36</f>
        <v>27839.446</v>
      </c>
      <c r="Q35" s="79">
        <f>+'4.1. Samtryggingard.'!U36+'5.1. Séreignard.'!AB36</f>
        <v>24759</v>
      </c>
      <c r="R35" s="135">
        <f>+'4.1. Samtryggingard.'!V36</f>
        <v>13748</v>
      </c>
      <c r="S35" s="79">
        <f>+'4.1. Samtryggingard.'!W36</f>
        <v>23642</v>
      </c>
      <c r="T35" s="79">
        <f>+'4.1. Samtryggingard.'!X36+'5.1. Séreignard.'!AC36+'5.1. Séreignard.'!AD36</f>
        <v>12087</v>
      </c>
      <c r="U35" s="79">
        <f>+'4.1. Samtryggingard.'!Y36</f>
        <v>10195</v>
      </c>
      <c r="V35" s="8">
        <f>+'4.1. Samtryggingard.'!Z36+'4.1. Samtryggingard.'!AA36+'5.1. Séreignard.'!AE36+'5.1. Séreignard.'!AF36+'5.1. Séreignard.'!AG36</f>
        <v>7729.586</v>
      </c>
      <c r="W35" s="135">
        <f>+'4.1. Samtryggingard.'!AB36+'5.1. Séreignard.'!AH36</f>
        <v>14179</v>
      </c>
      <c r="X35" s="79">
        <f>+'4.1. Samtryggingard.'!AC36</f>
        <v>0</v>
      </c>
      <c r="Y35" s="8">
        <f>+'4.1. Samtryggingard.'!AD36+'5.1. Séreignard.'!AI36+'5.1. Séreignard.'!AJ36+'5.1. Séreignard.'!AK36+'5.1. Séreignard.'!AL36</f>
        <v>20098.905</v>
      </c>
      <c r="Z35" s="79">
        <f>+'4.1. Samtryggingard.'!AE36</f>
        <v>4541</v>
      </c>
      <c r="AA35" s="8">
        <f>+'4.1. Samtryggingard.'!AF36</f>
        <v>5211.464</v>
      </c>
      <c r="AB35" s="8">
        <f>+'4.1. Samtryggingard.'!AG36</f>
        <v>14571</v>
      </c>
      <c r="AC35" s="8">
        <f>+'4.1. Samtryggingard.'!AH36</f>
        <v>2153</v>
      </c>
      <c r="AD35" s="8">
        <f>+'4.1. Samtryggingard.'!AI36+'4.1. Samtryggingard.'!AJ36</f>
        <v>5656</v>
      </c>
      <c r="AE35" s="8">
        <f>+'4.1. Samtryggingard.'!AK36+'5.1. Séreignard.'!AM36</f>
        <v>5368</v>
      </c>
      <c r="AF35" s="8">
        <f>+'4.1. Samtryggingard.'!AL36</f>
        <v>3309</v>
      </c>
      <c r="AG35" s="8">
        <f>+'4.1. Samtryggingard.'!AM36</f>
        <v>1952</v>
      </c>
      <c r="AH35" s="8">
        <f>+'4.1. Samtryggingard.'!AN36+'5.1. Séreignard.'!AN36</f>
        <v>1255</v>
      </c>
      <c r="AI35" s="8">
        <f>+'4.1. Samtryggingard.'!AO36</f>
        <v>2479</v>
      </c>
      <c r="AJ35" s="8">
        <f>+'4.1. Samtryggingard.'!AP36</f>
        <v>2883</v>
      </c>
      <c r="AK35" s="8">
        <f>+'4.1. Samtryggingard.'!AQ36</f>
        <v>717</v>
      </c>
      <c r="AL35" s="8">
        <f>+'4.1. Samtryggingard.'!AR36</f>
        <v>1277</v>
      </c>
      <c r="AM35" s="8">
        <f>+'4.1. Samtryggingard.'!AS36</f>
        <v>1300</v>
      </c>
      <c r="AN35" s="8">
        <f>+'4.1. Samtryggingard.'!AT36</f>
        <v>391.589</v>
      </c>
      <c r="AO35" s="8">
        <f>+'4.1. Samtryggingard.'!AU36</f>
        <v>185.043</v>
      </c>
      <c r="AP35" s="8">
        <f>+'4.1. Samtryggingard.'!AV36</f>
        <v>842</v>
      </c>
      <c r="AQ35" s="8">
        <f>+'4.1. Samtryggingard.'!AW36</f>
        <v>510</v>
      </c>
      <c r="AR35" s="8">
        <f>+'4.1. Samtryggingard.'!AX36</f>
        <v>148</v>
      </c>
      <c r="AS35" s="8">
        <f>+'4.1. Samtryggingard.'!AY36</f>
        <v>56.488</v>
      </c>
      <c r="AT35" s="8">
        <f>+'4.1. Samtryggingard.'!AZ36</f>
        <v>1573</v>
      </c>
      <c r="AU35" s="8">
        <f>+'4.1. Samtryggingard.'!BA36</f>
        <v>0</v>
      </c>
      <c r="AV35" s="8">
        <f>+'4.1. Samtryggingard.'!BB36</f>
        <v>0</v>
      </c>
      <c r="AW35" s="8">
        <f>+'4.1. Samtryggingard.'!BC36</f>
        <v>0</v>
      </c>
      <c r="AX35" s="18"/>
      <c r="AY35" s="18">
        <f>SUM(B35:AW35)</f>
        <v>1001893.80748384</v>
      </c>
      <c r="AZ35" s="7"/>
    </row>
    <row r="36" spans="1:52" ht="12.75">
      <c r="A36" s="17" t="s">
        <v>289</v>
      </c>
      <c r="B36" s="8">
        <f>+'4.1. Samtryggingard.'!B37+'4.1. Samtryggingard.'!C37+'5.1. Séreignard.'!B37+'5.1. Séreignard.'!C37+'5.1. Séreignard.'!D37</f>
        <v>0</v>
      </c>
      <c r="C36" s="8">
        <f>+'4.1. Samtryggingard.'!D37+'5.1. Séreignard.'!E37</f>
        <v>0</v>
      </c>
      <c r="D36" s="8">
        <f>+'4.1. Samtryggingard.'!E37+'5.1. Séreignard.'!F37+'5.1. Séreignard.'!G37</f>
        <v>0</v>
      </c>
      <c r="E36" s="79">
        <f>+'4.1. Samtryggingard.'!F37+'5.1. Séreignard.'!H37+'5.1. Séreignard.'!I37+'5.1. Séreignard.'!J37</f>
        <v>0</v>
      </c>
      <c r="F36" s="79">
        <f>+'4.1. Samtryggingard.'!G37+'4.1. Samtryggingard.'!H37+'5.1. Séreignard.'!K37+'5.1. Séreignard.'!L37</f>
        <v>0</v>
      </c>
      <c r="G36" s="18">
        <f>+'4.1. Samtryggingard.'!I37+'5.1. Séreignard.'!M37+'5.1. Séreignard.'!N37</f>
        <v>0</v>
      </c>
      <c r="H36" s="8">
        <f>+'4.1. Samtryggingard.'!J37+'5.1. Séreignard.'!O37+'5.1. Séreignard.'!P37+'5.1. Séreignard.'!Q37</f>
        <v>0</v>
      </c>
      <c r="I36" s="8">
        <f>+'4.1. Samtryggingard.'!K37+'5.1. Séreignard.'!R37</f>
        <v>418</v>
      </c>
      <c r="J36" s="8">
        <f>+'4.1. Samtryggingard.'!L37+'5.1. Séreignard.'!S37+'5.1. Séreignard.'!T37+'5.1. Séreignard.'!U37+'5.1. Séreignard.'!V37</f>
        <v>255.32761599999998</v>
      </c>
      <c r="K36" s="8">
        <f>+'4.1. Samtryggingard.'!M37+'5.1. Séreignard.'!W37+'5.1. Séreignard.'!X37</f>
        <v>0</v>
      </c>
      <c r="L36" s="8">
        <f>+'4.1. Samtryggingard.'!N37+'4.1. Samtryggingard.'!O37</f>
        <v>0</v>
      </c>
      <c r="M36" s="8">
        <f>+'4.1. Samtryggingard.'!P37+'4.1. Samtryggingard.'!Q37+'5.1. Séreignard.'!Y37</f>
        <v>838</v>
      </c>
      <c r="N36" s="79">
        <f>+'4.1. Samtryggingard.'!R37</f>
        <v>0</v>
      </c>
      <c r="O36" s="8">
        <f>+'4.1. Samtryggingard.'!S37+'5.1. Séreignard.'!Z37</f>
        <v>0</v>
      </c>
      <c r="P36" s="8">
        <f>+'4.1. Samtryggingard.'!T37+'5.1. Séreignard.'!AA37</f>
        <v>529.425</v>
      </c>
      <c r="Q36" s="79">
        <f>+'4.1. Samtryggingard.'!U37+'5.1. Séreignard.'!AB37</f>
        <v>0</v>
      </c>
      <c r="R36" s="135">
        <f>+'4.1. Samtryggingard.'!V37</f>
        <v>0</v>
      </c>
      <c r="S36" s="79">
        <f>+'4.1. Samtryggingard.'!W37</f>
        <v>119</v>
      </c>
      <c r="T36" s="79">
        <f>+'4.1. Samtryggingard.'!X37+'5.1. Séreignard.'!AC37+'5.1. Séreignard.'!AD37</f>
        <v>0</v>
      </c>
      <c r="U36" s="79">
        <f>+'4.1. Samtryggingard.'!Y37</f>
        <v>462</v>
      </c>
      <c r="V36" s="8">
        <f>+'4.1. Samtryggingard.'!Z37+'4.1. Samtryggingard.'!AA37+'5.1. Séreignard.'!AE37+'5.1. Séreignard.'!AF37+'5.1. Séreignard.'!AG37</f>
        <v>0</v>
      </c>
      <c r="W36" s="135">
        <f>+'4.1. Samtryggingard.'!AB37+'5.1. Séreignard.'!AH37</f>
        <v>6</v>
      </c>
      <c r="X36" s="79">
        <f>+'4.1. Samtryggingard.'!AC37</f>
        <v>0</v>
      </c>
      <c r="Y36" s="8">
        <f>+'4.1. Samtryggingard.'!AD37+'5.1. Séreignard.'!AI37+'5.1. Séreignard.'!AJ37+'5.1. Séreignard.'!AK37+'5.1. Séreignard.'!AL37</f>
        <v>0</v>
      </c>
      <c r="Z36" s="79">
        <f>+'4.1. Samtryggingard.'!AE37</f>
        <v>63</v>
      </c>
      <c r="AA36" s="8">
        <f>+'4.1. Samtryggingard.'!AF37</f>
        <v>0</v>
      </c>
      <c r="AB36" s="8">
        <f>+'4.1. Samtryggingard.'!AG37</f>
        <v>0</v>
      </c>
      <c r="AC36" s="8">
        <f>+'4.1. Samtryggingard.'!AH37</f>
        <v>0</v>
      </c>
      <c r="AD36" s="8">
        <f>+'4.1. Samtryggingard.'!AI37+'4.1. Samtryggingard.'!AJ37</f>
        <v>0</v>
      </c>
      <c r="AE36" s="8">
        <f>+'4.1. Samtryggingard.'!AK37+'5.1. Séreignard.'!AM37</f>
        <v>0</v>
      </c>
      <c r="AF36" s="8">
        <f>+'4.1. Samtryggingard.'!AL37</f>
        <v>0</v>
      </c>
      <c r="AG36" s="8">
        <f>+'4.1. Samtryggingard.'!AM37</f>
        <v>68</v>
      </c>
      <c r="AH36" s="8">
        <f>+'4.1. Samtryggingard.'!AN37+'5.1. Séreignard.'!AN37</f>
        <v>28</v>
      </c>
      <c r="AI36" s="8">
        <f>+'4.1. Samtryggingard.'!AO37</f>
        <v>0</v>
      </c>
      <c r="AJ36" s="8">
        <f>+'4.1. Samtryggingard.'!AP37</f>
        <v>0</v>
      </c>
      <c r="AK36" s="8">
        <f>+'4.1. Samtryggingard.'!AQ37</f>
        <v>156</v>
      </c>
      <c r="AL36" s="8">
        <f>+'4.1. Samtryggingard.'!AR37</f>
        <v>0</v>
      </c>
      <c r="AM36" s="8">
        <f>+'4.1. Samtryggingard.'!AS37</f>
        <v>61</v>
      </c>
      <c r="AN36" s="8">
        <f>+'4.1. Samtryggingard.'!AT37</f>
        <v>356.247</v>
      </c>
      <c r="AO36" s="8">
        <f>+'4.1. Samtryggingard.'!AU37</f>
        <v>0</v>
      </c>
      <c r="AP36" s="8">
        <f>+'4.1. Samtryggingard.'!AV37</f>
        <v>0</v>
      </c>
      <c r="AQ36" s="8">
        <f>+'4.1. Samtryggingard.'!AW37</f>
        <v>53</v>
      </c>
      <c r="AR36" s="8">
        <f>+'4.1. Samtryggingard.'!AX37</f>
        <v>0</v>
      </c>
      <c r="AS36" s="8">
        <f>+'4.1. Samtryggingard.'!AY37</f>
        <v>0</v>
      </c>
      <c r="AT36" s="8">
        <f>+'4.1. Samtryggingard.'!AZ37</f>
        <v>0</v>
      </c>
      <c r="AU36" s="8">
        <f>+'4.1. Samtryggingard.'!BA37</f>
        <v>0</v>
      </c>
      <c r="AV36" s="8">
        <f>+'4.1. Samtryggingard.'!BB37</f>
        <v>0</v>
      </c>
      <c r="AW36" s="8">
        <f>+'4.1. Samtryggingard.'!BC37</f>
        <v>0</v>
      </c>
      <c r="AX36" s="18"/>
      <c r="AY36" s="18">
        <f>SUM(B36:AW36)</f>
        <v>3412.9996159999996</v>
      </c>
      <c r="AZ36" s="7"/>
    </row>
    <row r="37" spans="1:52" ht="12.75">
      <c r="A37" s="17" t="s">
        <v>290</v>
      </c>
      <c r="B37" s="8">
        <f>+'4.1. Samtryggingard.'!B38+'4.1. Samtryggingard.'!C38+'5.1. Séreignard.'!B38+'5.1. Séreignard.'!C38+'5.1. Séreignard.'!D38</f>
        <v>0</v>
      </c>
      <c r="C37" s="8">
        <f>+'4.1. Samtryggingard.'!D38+'5.1. Séreignard.'!E38</f>
        <v>0</v>
      </c>
      <c r="D37" s="8">
        <f>+'4.1. Samtryggingard.'!E38+'5.1. Séreignard.'!F38+'5.1. Séreignard.'!G38</f>
        <v>0</v>
      </c>
      <c r="E37" s="79">
        <f>+'4.1. Samtryggingard.'!F38+'5.1. Séreignard.'!H38+'5.1. Séreignard.'!I38+'5.1. Séreignard.'!J38</f>
        <v>0</v>
      </c>
      <c r="F37" s="79">
        <f>+'4.1. Samtryggingard.'!G38+'4.1. Samtryggingard.'!H38+'5.1. Séreignard.'!K38+'5.1. Séreignard.'!L38</f>
        <v>0</v>
      </c>
      <c r="G37" s="18">
        <f>+'4.1. Samtryggingard.'!I38+'5.1. Séreignard.'!M38+'5.1. Séreignard.'!N38</f>
        <v>0</v>
      </c>
      <c r="H37" s="8">
        <f>+'4.1. Samtryggingard.'!J38+'5.1. Séreignard.'!O38+'5.1. Séreignard.'!P38+'5.1. Séreignard.'!Q38</f>
        <v>0</v>
      </c>
      <c r="I37" s="8">
        <f>+'4.1. Samtryggingard.'!K38+'5.1. Séreignard.'!R38</f>
        <v>0</v>
      </c>
      <c r="J37" s="8">
        <f>+'4.1. Samtryggingard.'!L38+'5.1. Séreignard.'!S38+'5.1. Séreignard.'!T38+'5.1. Séreignard.'!U38+'5.1. Séreignard.'!V38</f>
        <v>0</v>
      </c>
      <c r="K37" s="8">
        <f>+'4.1. Samtryggingard.'!M38+'5.1. Séreignard.'!W38+'5.1. Séreignard.'!X38</f>
        <v>0</v>
      </c>
      <c r="L37" s="8">
        <f>+'4.1. Samtryggingard.'!N38+'4.1. Samtryggingard.'!O38</f>
        <v>0</v>
      </c>
      <c r="M37" s="8">
        <f>+'4.1. Samtryggingard.'!P38+'4.1. Samtryggingard.'!Q38+'5.1. Séreignard.'!Y38</f>
        <v>0</v>
      </c>
      <c r="N37" s="79">
        <f>+'4.1. Samtryggingard.'!R38</f>
        <v>0</v>
      </c>
      <c r="O37" s="8">
        <f>+'4.1. Samtryggingard.'!S38+'5.1. Séreignard.'!Z38</f>
        <v>0</v>
      </c>
      <c r="P37" s="8">
        <f>+'4.1. Samtryggingard.'!T38+'5.1. Séreignard.'!AA38</f>
        <v>0</v>
      </c>
      <c r="Q37" s="79">
        <f>+'4.1. Samtryggingard.'!U38+'5.1. Séreignard.'!AB38</f>
        <v>0</v>
      </c>
      <c r="R37" s="135">
        <f>+'4.1. Samtryggingard.'!V38</f>
        <v>0</v>
      </c>
      <c r="S37" s="79">
        <f>+'4.1. Samtryggingard.'!W38</f>
        <v>661</v>
      </c>
      <c r="T37" s="79">
        <f>+'4.1. Samtryggingard.'!X38+'5.1. Séreignard.'!AC38+'5.1. Séreignard.'!AD38</f>
        <v>0</v>
      </c>
      <c r="U37" s="79">
        <f>+'4.1. Samtryggingard.'!Y38</f>
        <v>0</v>
      </c>
      <c r="V37" s="8">
        <f>+'4.1. Samtryggingard.'!Z38+'4.1. Samtryggingard.'!AA38+'5.1. Séreignard.'!AE38+'5.1. Séreignard.'!AF38+'5.1. Séreignard.'!AG38</f>
        <v>0</v>
      </c>
      <c r="W37" s="135">
        <f>+'4.1. Samtryggingard.'!AB38+'5.1. Séreignard.'!AH38</f>
        <v>0</v>
      </c>
      <c r="X37" s="79">
        <f>+'4.1. Samtryggingard.'!AC38</f>
        <v>0</v>
      </c>
      <c r="Y37" s="8">
        <f>+'4.1. Samtryggingard.'!AD38+'5.1. Séreignard.'!AI38+'5.1. Séreignard.'!AJ38+'5.1. Séreignard.'!AK38+'5.1. Séreignard.'!AL38</f>
        <v>0</v>
      </c>
      <c r="Z37" s="79">
        <f>+'4.1. Samtryggingard.'!AE38</f>
        <v>0</v>
      </c>
      <c r="AA37" s="8">
        <f>+'4.1. Samtryggingard.'!AF38</f>
        <v>0</v>
      </c>
      <c r="AB37" s="8">
        <f>+'4.1. Samtryggingard.'!AG38</f>
        <v>0</v>
      </c>
      <c r="AC37" s="8">
        <f>+'4.1. Samtryggingard.'!AH38</f>
        <v>0</v>
      </c>
      <c r="AD37" s="8">
        <f>+'4.1. Samtryggingard.'!AI38+'4.1. Samtryggingard.'!AJ38</f>
        <v>0</v>
      </c>
      <c r="AE37" s="8">
        <f>+'4.1. Samtryggingard.'!AK38+'5.1. Séreignard.'!AM38</f>
        <v>0</v>
      </c>
      <c r="AF37" s="8">
        <f>+'4.1. Samtryggingard.'!AL38</f>
        <v>0</v>
      </c>
      <c r="AG37" s="8">
        <f>+'4.1. Samtryggingard.'!AM38</f>
        <v>0</v>
      </c>
      <c r="AH37" s="8">
        <f>+'4.1. Samtryggingard.'!AN38+'5.1. Séreignard.'!AN38</f>
        <v>0</v>
      </c>
      <c r="AI37" s="8">
        <f>+'4.1. Samtryggingard.'!AO38</f>
        <v>0</v>
      </c>
      <c r="AJ37" s="8">
        <f>+'4.1. Samtryggingard.'!AP38</f>
        <v>0</v>
      </c>
      <c r="AK37" s="8">
        <f>+'4.1. Samtryggingard.'!AQ38</f>
        <v>0</v>
      </c>
      <c r="AL37" s="8">
        <f>+'4.1. Samtryggingard.'!AR38</f>
        <v>0</v>
      </c>
      <c r="AM37" s="8">
        <f>+'4.1. Samtryggingard.'!AS38</f>
        <v>0</v>
      </c>
      <c r="AN37" s="8">
        <f>+'4.1. Samtryggingard.'!AT38</f>
        <v>0</v>
      </c>
      <c r="AO37" s="8">
        <f>+'4.1. Samtryggingard.'!AU38</f>
        <v>0</v>
      </c>
      <c r="AP37" s="8">
        <f>+'4.1. Samtryggingard.'!AV38</f>
        <v>0</v>
      </c>
      <c r="AQ37" s="8">
        <f>+'4.1. Samtryggingard.'!AW38</f>
        <v>0</v>
      </c>
      <c r="AR37" s="8">
        <f>+'4.1. Samtryggingard.'!AX38</f>
        <v>0</v>
      </c>
      <c r="AS37" s="8">
        <f>+'4.1. Samtryggingard.'!AY38</f>
        <v>0</v>
      </c>
      <c r="AT37" s="8">
        <f>+'4.1. Samtryggingard.'!AZ38</f>
        <v>0</v>
      </c>
      <c r="AU37" s="8">
        <f>+'4.1. Samtryggingard.'!BA38</f>
        <v>0</v>
      </c>
      <c r="AV37" s="8">
        <f>+'4.1. Samtryggingard.'!BB38</f>
        <v>0</v>
      </c>
      <c r="AW37" s="8">
        <f>+'4.1. Samtryggingard.'!BC38</f>
        <v>0</v>
      </c>
      <c r="AX37" s="18"/>
      <c r="AY37" s="18">
        <f>SUM(B37:AW37)</f>
        <v>661</v>
      </c>
      <c r="AZ37" s="7"/>
    </row>
    <row r="38" spans="1:52" ht="12.75">
      <c r="A38" s="17" t="s">
        <v>291</v>
      </c>
      <c r="B38" s="8">
        <f>+'4.1. Samtryggingard.'!B39+'4.1. Samtryggingard.'!C39+'5.1. Séreignard.'!B39+'5.1. Séreignard.'!C39+'5.1. Séreignard.'!D39</f>
        <v>0</v>
      </c>
      <c r="C38" s="8">
        <f>+'4.1. Samtryggingard.'!D39+'5.1. Séreignard.'!E39</f>
        <v>0</v>
      </c>
      <c r="D38" s="8">
        <f>+'4.1. Samtryggingard.'!E39+'5.1. Séreignard.'!F39+'5.1. Séreignard.'!G39</f>
        <v>0</v>
      </c>
      <c r="E38" s="79">
        <f>+'4.1. Samtryggingard.'!F39+'5.1. Séreignard.'!H39+'5.1. Séreignard.'!I39+'5.1. Séreignard.'!J39</f>
        <v>0</v>
      </c>
      <c r="F38" s="79">
        <f>+'4.1. Samtryggingard.'!G39+'4.1. Samtryggingard.'!H39+'5.1. Séreignard.'!K39+'5.1. Séreignard.'!L39</f>
        <v>0</v>
      </c>
      <c r="G38" s="18">
        <f>+'4.1. Samtryggingard.'!I39+'5.1. Séreignard.'!M39+'5.1. Séreignard.'!N39</f>
        <v>0</v>
      </c>
      <c r="H38" s="8">
        <f>+'4.1. Samtryggingard.'!J39+'5.1. Séreignard.'!O39+'5.1. Séreignard.'!P39+'5.1. Séreignard.'!Q39</f>
        <v>0</v>
      </c>
      <c r="I38" s="8">
        <f>+'4.1. Samtryggingard.'!K39+'5.1. Séreignard.'!R39</f>
        <v>0</v>
      </c>
      <c r="J38" s="8">
        <f>+'4.1. Samtryggingard.'!L39+'5.1. Séreignard.'!S39+'5.1. Séreignard.'!T39+'5.1. Séreignard.'!U39+'5.1. Séreignard.'!V39</f>
        <v>0</v>
      </c>
      <c r="K38" s="8">
        <f>+'4.1. Samtryggingard.'!M39+'5.1. Séreignard.'!W39+'5.1. Séreignard.'!X39</f>
        <v>0</v>
      </c>
      <c r="L38" s="8">
        <f>+'4.1. Samtryggingard.'!N39+'4.1. Samtryggingard.'!O39</f>
        <v>0</v>
      </c>
      <c r="M38" s="8">
        <f>+'4.1. Samtryggingard.'!P39+'4.1. Samtryggingard.'!Q39+'5.1. Séreignard.'!Y39</f>
        <v>0</v>
      </c>
      <c r="N38" s="79">
        <f>+'4.1. Samtryggingard.'!R39</f>
        <v>0</v>
      </c>
      <c r="O38" s="8">
        <f>+'4.1. Samtryggingard.'!S39+'5.1. Séreignard.'!Z39</f>
        <v>0</v>
      </c>
      <c r="P38" s="8">
        <f>+'4.1. Samtryggingard.'!T39+'5.1. Séreignard.'!AA39</f>
        <v>0</v>
      </c>
      <c r="Q38" s="79">
        <f>+'4.1. Samtryggingard.'!U39+'5.1. Séreignard.'!AB39</f>
        <v>0</v>
      </c>
      <c r="R38" s="135">
        <f>+'4.1. Samtryggingard.'!V39</f>
        <v>0</v>
      </c>
      <c r="S38" s="79">
        <f>+'4.1. Samtryggingard.'!W39</f>
        <v>0</v>
      </c>
      <c r="T38" s="79">
        <f>+'4.1. Samtryggingard.'!X39+'5.1. Séreignard.'!AC39+'5.1. Séreignard.'!AD39</f>
        <v>1952</v>
      </c>
      <c r="U38" s="79">
        <f>+'4.1. Samtryggingard.'!Y39</f>
        <v>0</v>
      </c>
      <c r="V38" s="8">
        <f>+'4.1. Samtryggingard.'!Z39+'4.1. Samtryggingard.'!AA39+'5.1. Séreignard.'!AE39+'5.1. Séreignard.'!AF39+'5.1. Séreignard.'!AG39</f>
        <v>0</v>
      </c>
      <c r="W38" s="135">
        <f>+'4.1. Samtryggingard.'!AB39+'5.1. Séreignard.'!AH39</f>
        <v>0</v>
      </c>
      <c r="X38" s="79">
        <f>+'4.1. Samtryggingard.'!AC39</f>
        <v>0</v>
      </c>
      <c r="Y38" s="8">
        <f>+'4.1. Samtryggingard.'!AD39+'5.1. Séreignard.'!AI39+'5.1. Séreignard.'!AJ39+'5.1. Séreignard.'!AK39+'5.1. Séreignard.'!AL39</f>
        <v>0</v>
      </c>
      <c r="Z38" s="79">
        <f>+'4.1. Samtryggingard.'!AE39</f>
        <v>0</v>
      </c>
      <c r="AA38" s="8">
        <f>+'4.1. Samtryggingard.'!AF39</f>
        <v>0</v>
      </c>
      <c r="AB38" s="8">
        <f>+'4.1. Samtryggingard.'!AG39</f>
        <v>0</v>
      </c>
      <c r="AC38" s="8">
        <f>+'4.1. Samtryggingard.'!AH39</f>
        <v>0</v>
      </c>
      <c r="AD38" s="8">
        <f>+'4.1. Samtryggingard.'!AI39+'4.1. Samtryggingard.'!AJ39</f>
        <v>0</v>
      </c>
      <c r="AE38" s="8">
        <f>+'4.1. Samtryggingard.'!AK39+'5.1. Séreignard.'!AM39</f>
        <v>0</v>
      </c>
      <c r="AF38" s="8">
        <f>+'4.1. Samtryggingard.'!AL39</f>
        <v>0</v>
      </c>
      <c r="AG38" s="8">
        <f>+'4.1. Samtryggingard.'!AM39</f>
        <v>0</v>
      </c>
      <c r="AH38" s="8">
        <f>+'4.1. Samtryggingard.'!AN39+'5.1. Séreignard.'!AN39</f>
        <v>0</v>
      </c>
      <c r="AI38" s="8">
        <f>+'4.1. Samtryggingard.'!AO39</f>
        <v>0</v>
      </c>
      <c r="AJ38" s="8">
        <f>+'4.1. Samtryggingard.'!AP39</f>
        <v>0</v>
      </c>
      <c r="AK38" s="8">
        <f>+'4.1. Samtryggingard.'!AQ39</f>
        <v>0</v>
      </c>
      <c r="AL38" s="8">
        <f>+'4.1. Samtryggingard.'!AR39</f>
        <v>0</v>
      </c>
      <c r="AM38" s="8">
        <f>+'4.1. Samtryggingard.'!AS39</f>
        <v>0</v>
      </c>
      <c r="AN38" s="8">
        <f>+'4.1. Samtryggingard.'!AT39</f>
        <v>0</v>
      </c>
      <c r="AO38" s="8">
        <f>+'4.1. Samtryggingard.'!AU39</f>
        <v>0</v>
      </c>
      <c r="AP38" s="8">
        <f>+'4.1. Samtryggingard.'!AV39</f>
        <v>0</v>
      </c>
      <c r="AQ38" s="8">
        <f>+'4.1. Samtryggingard.'!AW39</f>
        <v>0</v>
      </c>
      <c r="AR38" s="8">
        <f>+'4.1. Samtryggingard.'!AX39</f>
        <v>0</v>
      </c>
      <c r="AS38" s="8">
        <f>+'4.1. Samtryggingard.'!AY39</f>
        <v>0</v>
      </c>
      <c r="AT38" s="8">
        <f>+'4.1. Samtryggingard.'!AZ39</f>
        <v>0</v>
      </c>
      <c r="AU38" s="8">
        <f>+'4.1. Samtryggingard.'!BA39</f>
        <v>0</v>
      </c>
      <c r="AV38" s="8">
        <f>+'4.1. Samtryggingard.'!BB39</f>
        <v>0</v>
      </c>
      <c r="AW38" s="8">
        <f>+'4.1. Samtryggingard.'!BC39</f>
        <v>0</v>
      </c>
      <c r="AX38" s="18"/>
      <c r="AY38" s="18">
        <f>SUM(B38:AW38)</f>
        <v>1952</v>
      </c>
      <c r="AZ38" s="7"/>
    </row>
    <row r="39" spans="1:52" ht="12.75">
      <c r="A39" s="17" t="s">
        <v>292</v>
      </c>
      <c r="B39" s="8">
        <f>+'4.1. Samtryggingard.'!B40+'4.1. Samtryggingard.'!C40+'5.1. Séreignard.'!B40+'5.1. Séreignard.'!C40+'5.1. Séreignard.'!D40</f>
        <v>408227</v>
      </c>
      <c r="C39" s="8">
        <f>+'4.1. Samtryggingard.'!D40+'5.1. Séreignard.'!E40</f>
        <v>0</v>
      </c>
      <c r="D39" s="8">
        <f>+'4.1. Samtryggingard.'!E40+'5.1. Séreignard.'!F40+'5.1. Séreignard.'!G40</f>
        <v>21800.415</v>
      </c>
      <c r="E39" s="79">
        <f>+'4.1. Samtryggingard.'!F40+'5.1. Séreignard.'!H40+'5.1. Séreignard.'!I40+'5.1. Séreignard.'!J40</f>
        <v>0</v>
      </c>
      <c r="F39" s="79">
        <f>+'4.1. Samtryggingard.'!G40+'4.1. Samtryggingard.'!H40+'5.1. Séreignard.'!K40+'5.1. Séreignard.'!L40</f>
        <v>0</v>
      </c>
      <c r="G39" s="18">
        <f>+'4.1. Samtryggingard.'!I40+'5.1. Séreignard.'!M40+'5.1. Séreignard.'!N40</f>
        <v>0</v>
      </c>
      <c r="H39" s="8">
        <f>+'4.1. Samtryggingard.'!J40+'5.1. Séreignard.'!O40+'5.1. Séreignard.'!P40+'5.1. Séreignard.'!Q40</f>
        <v>1062.4</v>
      </c>
      <c r="I39" s="8">
        <f>+'4.1. Samtryggingard.'!K40+'5.1. Séreignard.'!R40</f>
        <v>0</v>
      </c>
      <c r="J39" s="8">
        <f>+'4.1. Samtryggingard.'!L40+'5.1. Séreignard.'!S40+'5.1. Séreignard.'!T40+'5.1. Séreignard.'!U40+'5.1. Séreignard.'!V40</f>
        <v>0</v>
      </c>
      <c r="K39" s="8">
        <f>+'4.1. Samtryggingard.'!M40+'5.1. Séreignard.'!W40+'5.1. Séreignard.'!X40</f>
        <v>0</v>
      </c>
      <c r="L39" s="8">
        <f>+'4.1. Samtryggingard.'!N40+'4.1. Samtryggingard.'!O40</f>
        <v>0</v>
      </c>
      <c r="M39" s="8">
        <f>+'4.1. Samtryggingard.'!P40+'4.1. Samtryggingard.'!Q40+'5.1. Séreignard.'!Y40</f>
        <v>0</v>
      </c>
      <c r="N39" s="79">
        <f>+'4.1. Samtryggingard.'!R40</f>
        <v>0</v>
      </c>
      <c r="O39" s="8">
        <f>+'4.1. Samtryggingard.'!S40+'5.1. Séreignard.'!Z40</f>
        <v>18742</v>
      </c>
      <c r="P39" s="8">
        <f>+'4.1. Samtryggingard.'!T40+'5.1. Séreignard.'!AA40</f>
        <v>0</v>
      </c>
      <c r="Q39" s="79">
        <f>+'4.1. Samtryggingard.'!U40+'5.1. Séreignard.'!AB40</f>
        <v>0</v>
      </c>
      <c r="R39" s="135">
        <f>+'4.1. Samtryggingard.'!V40</f>
        <v>37959</v>
      </c>
      <c r="S39" s="79">
        <f>+'4.1. Samtryggingard.'!W40</f>
        <v>0</v>
      </c>
      <c r="T39" s="79">
        <f>+'4.1. Samtryggingard.'!X40+'5.1. Séreignard.'!AC40+'5.1. Séreignard.'!AD40</f>
        <v>574</v>
      </c>
      <c r="U39" s="79">
        <f>+'4.1. Samtryggingard.'!Y40</f>
        <v>10719</v>
      </c>
      <c r="V39" s="8">
        <f>+'4.1. Samtryggingard.'!Z40+'4.1. Samtryggingard.'!AA40+'5.1. Séreignard.'!AE40+'5.1. Séreignard.'!AF40+'5.1. Séreignard.'!AG40</f>
        <v>1811.932</v>
      </c>
      <c r="W39" s="135">
        <f>+'4.1. Samtryggingard.'!AB40+'5.1. Séreignard.'!AH40</f>
        <v>3057</v>
      </c>
      <c r="X39" s="79">
        <f>+'4.1. Samtryggingard.'!AC40</f>
        <v>1111</v>
      </c>
      <c r="Y39" s="8">
        <f>+'4.1. Samtryggingard.'!AD40+'5.1. Séreignard.'!AI40+'5.1. Séreignard.'!AJ40+'5.1. Séreignard.'!AK40+'5.1. Séreignard.'!AL40</f>
        <v>716.473</v>
      </c>
      <c r="Z39" s="79">
        <f>+'4.1. Samtryggingard.'!AE40</f>
        <v>10046</v>
      </c>
      <c r="AA39" s="8">
        <f>+'4.1. Samtryggingard.'!AF40</f>
        <v>0</v>
      </c>
      <c r="AB39" s="8">
        <f>+'4.1. Samtryggingard.'!AG40</f>
        <v>17601</v>
      </c>
      <c r="AC39" s="8">
        <f>+'4.1. Samtryggingard.'!AH40</f>
        <v>0</v>
      </c>
      <c r="AD39" s="8">
        <f>+'4.1. Samtryggingard.'!AI40+'4.1. Samtryggingard.'!AJ40</f>
        <v>0</v>
      </c>
      <c r="AE39" s="8">
        <f>+'4.1. Samtryggingard.'!AK40+'5.1. Séreignard.'!AM40</f>
        <v>548</v>
      </c>
      <c r="AF39" s="8">
        <f>+'4.1. Samtryggingard.'!AL40</f>
        <v>0</v>
      </c>
      <c r="AG39" s="8">
        <f>+'4.1. Samtryggingard.'!AM40</f>
        <v>154</v>
      </c>
      <c r="AH39" s="8">
        <f>+'4.1. Samtryggingard.'!AN40+'5.1. Séreignard.'!AN40</f>
        <v>0</v>
      </c>
      <c r="AI39" s="8">
        <f>+'4.1. Samtryggingard.'!AO40</f>
        <v>0</v>
      </c>
      <c r="AJ39" s="8">
        <f>+'4.1. Samtryggingard.'!AP40</f>
        <v>0</v>
      </c>
      <c r="AK39" s="8">
        <f>+'4.1. Samtryggingard.'!AQ40</f>
        <v>0</v>
      </c>
      <c r="AL39" s="8">
        <f>+'4.1. Samtryggingard.'!AR40</f>
        <v>0</v>
      </c>
      <c r="AM39" s="8">
        <f>+'4.1. Samtryggingard.'!AS40</f>
        <v>0</v>
      </c>
      <c r="AN39" s="8">
        <f>+'4.1. Samtryggingard.'!AT40</f>
        <v>0</v>
      </c>
      <c r="AO39" s="8">
        <f>+'4.1. Samtryggingard.'!AU40</f>
        <v>0</v>
      </c>
      <c r="AP39" s="8">
        <f>+'4.1. Samtryggingard.'!AV40</f>
        <v>72</v>
      </c>
      <c r="AQ39" s="8">
        <f>+'4.1. Samtryggingard.'!AW40</f>
        <v>0</v>
      </c>
      <c r="AR39" s="8">
        <f>+'4.1. Samtryggingard.'!AX40</f>
        <v>0</v>
      </c>
      <c r="AS39" s="8">
        <f>+'4.1. Samtryggingard.'!AY40</f>
        <v>0</v>
      </c>
      <c r="AT39" s="8">
        <f>+'4.1. Samtryggingard.'!AZ40</f>
        <v>0</v>
      </c>
      <c r="AU39" s="8">
        <f>+'4.1. Samtryggingard.'!BA40</f>
        <v>0</v>
      </c>
      <c r="AV39" s="8">
        <f>+'4.1. Samtryggingard.'!BB40</f>
        <v>0</v>
      </c>
      <c r="AW39" s="8">
        <f>+'4.1. Samtryggingard.'!BC40</f>
        <v>3157</v>
      </c>
      <c r="AX39" s="18"/>
      <c r="AY39" s="18">
        <f>SUM(B39:AW39)</f>
        <v>537358.22</v>
      </c>
      <c r="AZ39" s="7"/>
    </row>
    <row r="40" spans="1:52" ht="5.25" customHeight="1">
      <c r="A40" s="56"/>
      <c r="C40" s="11"/>
      <c r="D40" s="8"/>
      <c r="E40" s="11"/>
      <c r="F40" s="11"/>
      <c r="G40" s="8"/>
      <c r="K40" s="7"/>
      <c r="M40" s="11"/>
      <c r="N40" s="19"/>
      <c r="Q40" s="11"/>
      <c r="R40" s="135"/>
      <c r="S40" s="11"/>
      <c r="T40" s="11"/>
      <c r="U40" s="11"/>
      <c r="W40" s="135"/>
      <c r="X40" s="11"/>
      <c r="Z40" s="11"/>
      <c r="AB40" s="11"/>
      <c r="AC40" s="19"/>
      <c r="AF40" s="11"/>
      <c r="AG40" s="11"/>
      <c r="AI40" s="50"/>
      <c r="AL40" s="11"/>
      <c r="AN40" s="11"/>
      <c r="AO40" s="11"/>
      <c r="AP40" s="11"/>
      <c r="AQ40" s="11"/>
      <c r="AS40" s="11"/>
      <c r="AT40" s="11"/>
      <c r="AU40" s="11"/>
      <c r="AW40" s="11"/>
      <c r="AX40" s="18"/>
      <c r="AZ40" s="7"/>
    </row>
    <row r="41" spans="1:52" ht="12.75">
      <c r="A41" s="217" t="s">
        <v>293</v>
      </c>
      <c r="B41" s="7">
        <f>SUM(B35:B40)</f>
        <v>554589.5</v>
      </c>
      <c r="C41" s="7">
        <f aca="true" t="shared" si="5" ref="C41:AS41">SUM(C35:C40)</f>
        <v>157454</v>
      </c>
      <c r="D41" s="7">
        <f t="shared" si="5"/>
        <v>68314.41500000001</v>
      </c>
      <c r="E41" s="7">
        <f t="shared" si="5"/>
        <v>30221</v>
      </c>
      <c r="F41" s="7">
        <f t="shared" si="5"/>
        <v>90294</v>
      </c>
      <c r="G41" s="7">
        <f t="shared" si="5"/>
        <v>28579</v>
      </c>
      <c r="H41" s="7">
        <f>SUM(H35:H40)</f>
        <v>117290.4</v>
      </c>
      <c r="I41" s="7">
        <f t="shared" si="5"/>
        <v>27124</v>
      </c>
      <c r="J41" s="7">
        <f t="shared" si="5"/>
        <v>32362.11409984</v>
      </c>
      <c r="K41" s="7">
        <f t="shared" si="5"/>
        <v>40163</v>
      </c>
      <c r="L41" s="7">
        <f t="shared" si="5"/>
        <v>7683</v>
      </c>
      <c r="M41" s="7">
        <f t="shared" si="5"/>
        <v>29896</v>
      </c>
      <c r="N41" s="7">
        <f>SUM(N35:N40)</f>
        <v>10542</v>
      </c>
      <c r="O41" s="7">
        <f t="shared" si="5"/>
        <v>48068</v>
      </c>
      <c r="P41" s="7">
        <f t="shared" si="5"/>
        <v>28368.871</v>
      </c>
      <c r="Q41" s="7">
        <f t="shared" si="5"/>
        <v>24759</v>
      </c>
      <c r="R41" s="7">
        <f>SUM(R35:R40)</f>
        <v>51707</v>
      </c>
      <c r="S41" s="7">
        <f t="shared" si="5"/>
        <v>24422</v>
      </c>
      <c r="T41" s="7">
        <f t="shared" si="5"/>
        <v>14613</v>
      </c>
      <c r="U41" s="7">
        <f t="shared" si="5"/>
        <v>21376</v>
      </c>
      <c r="V41" s="7">
        <f>SUM(V35:V40)</f>
        <v>9541.518</v>
      </c>
      <c r="W41" s="7">
        <f>SUM(W35:W40)</f>
        <v>17242</v>
      </c>
      <c r="X41" s="7">
        <f t="shared" si="5"/>
        <v>1111</v>
      </c>
      <c r="Y41" s="7">
        <f>SUM(Y35:Y40)</f>
        <v>20815.377999999997</v>
      </c>
      <c r="Z41" s="7">
        <f t="shared" si="5"/>
        <v>14650</v>
      </c>
      <c r="AA41" s="7">
        <f t="shared" si="5"/>
        <v>5211.464</v>
      </c>
      <c r="AB41" s="7">
        <f t="shared" si="5"/>
        <v>32172</v>
      </c>
      <c r="AC41" s="7">
        <f t="shared" si="5"/>
        <v>2153</v>
      </c>
      <c r="AD41" s="7">
        <f t="shared" si="5"/>
        <v>5656</v>
      </c>
      <c r="AE41" s="7">
        <f t="shared" si="5"/>
        <v>5916</v>
      </c>
      <c r="AF41" s="7">
        <f t="shared" si="5"/>
        <v>3309</v>
      </c>
      <c r="AG41" s="7">
        <f t="shared" si="5"/>
        <v>2174</v>
      </c>
      <c r="AH41" s="7">
        <f>SUM(AH35:AH40)</f>
        <v>1283</v>
      </c>
      <c r="AI41" s="7">
        <f t="shared" si="5"/>
        <v>2479</v>
      </c>
      <c r="AJ41" s="7">
        <f t="shared" si="5"/>
        <v>2883</v>
      </c>
      <c r="AK41" s="7">
        <f t="shared" si="5"/>
        <v>873</v>
      </c>
      <c r="AL41" s="7">
        <f t="shared" si="5"/>
        <v>1277</v>
      </c>
      <c r="AM41" s="7">
        <f t="shared" si="5"/>
        <v>1361</v>
      </c>
      <c r="AN41" s="7">
        <f t="shared" si="5"/>
        <v>747.836</v>
      </c>
      <c r="AO41" s="7">
        <f t="shared" si="5"/>
        <v>185.043</v>
      </c>
      <c r="AP41" s="7">
        <f t="shared" si="5"/>
        <v>914</v>
      </c>
      <c r="AQ41" s="7">
        <f t="shared" si="5"/>
        <v>563</v>
      </c>
      <c r="AR41" s="7">
        <f t="shared" si="5"/>
        <v>148</v>
      </c>
      <c r="AS41" s="7">
        <f t="shared" si="5"/>
        <v>56.488</v>
      </c>
      <c r="AT41" s="7">
        <f>SUM(AT35:AT40)</f>
        <v>1573</v>
      </c>
      <c r="AU41" s="7">
        <f>SUM(AU35:AU40)</f>
        <v>0</v>
      </c>
      <c r="AV41" s="7">
        <f>SUM(AV35:AV40)</f>
        <v>0</v>
      </c>
      <c r="AW41" s="7">
        <f>SUM(AW35:AW40)</f>
        <v>3157</v>
      </c>
      <c r="AX41" s="18"/>
      <c r="AY41" s="18">
        <f>SUM(B41:AW41)</f>
        <v>1545278.0270998396</v>
      </c>
      <c r="AZ41" s="7"/>
    </row>
    <row r="42" spans="1:52" ht="8.25" customHeight="1">
      <c r="A42" s="56"/>
      <c r="C42" s="11"/>
      <c r="D42" s="8"/>
      <c r="E42" s="11"/>
      <c r="F42" s="11"/>
      <c r="M42" s="11"/>
      <c r="N42" s="19"/>
      <c r="Q42" s="11"/>
      <c r="R42" s="135"/>
      <c r="S42" s="11"/>
      <c r="T42" s="11"/>
      <c r="U42" s="11"/>
      <c r="W42" s="135"/>
      <c r="X42" s="11"/>
      <c r="Z42" s="11"/>
      <c r="AB42" s="11"/>
      <c r="AC42" s="19"/>
      <c r="AF42" s="11"/>
      <c r="AG42" s="11"/>
      <c r="AI42" s="50"/>
      <c r="AL42" s="11"/>
      <c r="AN42" s="11"/>
      <c r="AO42" s="11"/>
      <c r="AP42" s="11"/>
      <c r="AQ42" s="11"/>
      <c r="AS42" s="11"/>
      <c r="AT42" s="11"/>
      <c r="AU42" s="11"/>
      <c r="AW42" s="11"/>
      <c r="AX42" s="18"/>
      <c r="AZ42" s="7"/>
    </row>
    <row r="43" spans="1:52" ht="12.75">
      <c r="A43" s="15" t="s">
        <v>294</v>
      </c>
      <c r="C43" s="11"/>
      <c r="D43" s="8"/>
      <c r="E43" s="11"/>
      <c r="F43" s="11"/>
      <c r="G43" s="7"/>
      <c r="K43" s="8"/>
      <c r="M43" s="11"/>
      <c r="N43" s="19"/>
      <c r="Q43" s="11"/>
      <c r="R43" s="135"/>
      <c r="S43" s="11"/>
      <c r="T43" s="11"/>
      <c r="U43" s="11"/>
      <c r="W43" s="135"/>
      <c r="X43" s="11"/>
      <c r="Z43" s="11"/>
      <c r="AB43" s="11"/>
      <c r="AC43" s="19"/>
      <c r="AF43" s="11"/>
      <c r="AG43" s="11"/>
      <c r="AI43" s="50"/>
      <c r="AL43" s="11"/>
      <c r="AN43" s="11"/>
      <c r="AO43" s="11"/>
      <c r="AP43" s="11"/>
      <c r="AQ43" s="11"/>
      <c r="AS43" s="11"/>
      <c r="AT43" s="11"/>
      <c r="AU43" s="11"/>
      <c r="AW43" s="11"/>
      <c r="AX43" s="18"/>
      <c r="AZ43" s="7"/>
    </row>
    <row r="44" spans="1:52" ht="12.75">
      <c r="A44" s="17" t="s">
        <v>288</v>
      </c>
      <c r="B44" s="8">
        <f>+'4.1. Samtryggingard.'!B44+'4.1. Samtryggingard.'!C44+'5.1. Séreignard.'!B44+'5.1. Séreignard.'!C44+'5.1. Séreignard.'!D44</f>
        <v>203262.4</v>
      </c>
      <c r="C44" s="8">
        <f>+'4.1. Samtryggingard.'!D44+'5.1. Séreignard.'!E44</f>
        <v>156638</v>
      </c>
      <c r="D44" s="8">
        <f>+'4.1. Samtryggingard.'!E44+'5.1. Séreignard.'!F44+'5.1. Séreignard.'!G44</f>
        <v>128074.76800000001</v>
      </c>
      <c r="E44" s="79">
        <f>+'4.1. Samtryggingard.'!F44+'5.1. Séreignard.'!H44+'5.1. Séreignard.'!I44+'5.1. Séreignard.'!J44</f>
        <v>66350</v>
      </c>
      <c r="F44" s="79">
        <f>+'4.1. Samtryggingard.'!G44+'4.1. Samtryggingard.'!H44+'5.1. Séreignard.'!K44+'5.1. Séreignard.'!L44</f>
        <v>49365</v>
      </c>
      <c r="G44" s="18">
        <f>+'4.1. Samtryggingard.'!I44+'5.1. Séreignard.'!M44+'5.1. Séreignard.'!N44</f>
        <v>23465</v>
      </c>
      <c r="H44" s="8">
        <f>+'4.1. Samtryggingard.'!J44+'5.1. Séreignard.'!O44+'5.1. Séreignard.'!P44</f>
        <v>56945</v>
      </c>
      <c r="I44" s="8">
        <f>+'4.1. Samtryggingard.'!K44+'5.1. Séreignard.'!R44</f>
        <v>53841</v>
      </c>
      <c r="J44" s="8">
        <f>+'4.1. Samtryggingard.'!L44+'5.1. Séreignard.'!S44+'5.1. Séreignard.'!T44+'5.1. Séreignard.'!U44+'5.1. Séreignard.'!V44</f>
        <v>44348.0585</v>
      </c>
      <c r="K44" s="8">
        <f>+'4.1. Samtryggingard.'!M44+'5.1. Séreignard.'!W44+'5.1. Séreignard.'!X44</f>
        <v>41568</v>
      </c>
      <c r="L44" s="8">
        <f>+'4.1. Samtryggingard.'!N44+'4.1. Samtryggingard.'!O44</f>
        <v>37229</v>
      </c>
      <c r="M44" s="8">
        <f>+'4.1. Samtryggingard.'!P44+'4.1. Samtryggingard.'!Q44+'5.1. Séreignard.'!Y44</f>
        <v>43586</v>
      </c>
      <c r="N44" s="79">
        <f>+'4.1. Samtryggingard.'!R44</f>
        <v>15117</v>
      </c>
      <c r="O44" s="8">
        <f>+'4.1. Samtryggingard.'!S44+'5.1. Séreignard.'!Z44</f>
        <v>25377</v>
      </c>
      <c r="P44" s="8">
        <f>+'4.1. Samtryggingard.'!T44+'5.1. Séreignard.'!AA44</f>
        <v>44178</v>
      </c>
      <c r="Q44" s="79">
        <f>+'4.1. Samtryggingard.'!U44+'5.1. Séreignard.'!AB44</f>
        <v>33912</v>
      </c>
      <c r="R44" s="135">
        <f>+'4.1. Samtryggingard.'!V44</f>
        <v>17603</v>
      </c>
      <c r="S44" s="79">
        <f>+'4.1. Samtryggingard.'!W44</f>
        <v>36979</v>
      </c>
      <c r="T44" s="79">
        <f>+'4.1. Samtryggingard.'!X44+'5.1. Séreignard.'!AC44+'5.1. Séreignard.'!AD44</f>
        <v>22062</v>
      </c>
      <c r="U44" s="79">
        <f>+'4.1. Samtryggingard.'!Y44</f>
        <v>24018</v>
      </c>
      <c r="V44" s="8">
        <f>+'4.1. Samtryggingard.'!Z44+'4.1. Samtryggingard.'!AA44+'5.1. Séreignard.'!AE44+'5.1. Séreignard.'!AF44+'5.1. Séreignard.'!AG44</f>
        <v>43799.652</v>
      </c>
      <c r="W44" s="135">
        <f>+'4.1. Samtryggingard.'!AB44+'5.1. Séreignard.'!AH44</f>
        <v>15603</v>
      </c>
      <c r="X44" s="79">
        <f>+'4.1. Samtryggingard.'!AC44</f>
        <v>40083.656</v>
      </c>
      <c r="Y44" s="8">
        <f>+'4.1. Samtryggingard.'!AD44+'5.1. Séreignard.'!AI44+'5.1. Séreignard.'!AJ44+'5.1. Séreignard.'!AK44+'5.1. Séreignard.'!AL44</f>
        <v>42804.03599999999</v>
      </c>
      <c r="Z44" s="79">
        <f>+'4.1. Samtryggingard.'!AE44</f>
        <v>7704</v>
      </c>
      <c r="AA44" s="8">
        <f>+'4.1. Samtryggingard.'!AF44</f>
        <v>2244.677</v>
      </c>
      <c r="AB44" s="8">
        <f>+'4.1. Samtryggingard.'!AG44</f>
        <v>17809</v>
      </c>
      <c r="AC44" s="8">
        <f>+'4.1. Samtryggingard.'!AH44</f>
        <v>1474</v>
      </c>
      <c r="AD44" s="8">
        <f>+'4.1. Samtryggingard.'!AI44+'4.1. Samtryggingard.'!AJ44</f>
        <v>8319</v>
      </c>
      <c r="AE44" s="8">
        <f>+'4.1. Samtryggingard.'!AK44+'5.1. Séreignard.'!AM44</f>
        <v>4392</v>
      </c>
      <c r="AF44" s="8">
        <f>+'4.1. Samtryggingard.'!AL44</f>
        <v>4628</v>
      </c>
      <c r="AG44" s="8">
        <f>+'4.1. Samtryggingard.'!AM44</f>
        <v>976</v>
      </c>
      <c r="AH44" s="8">
        <f>+'4.1. Samtryggingard.'!AN44+'5.1. Séreignard.'!AN44</f>
        <v>3587</v>
      </c>
      <c r="AI44" s="8">
        <f>+'4.1. Samtryggingard.'!AO44</f>
        <v>2304</v>
      </c>
      <c r="AJ44" s="8">
        <f>+'4.1. Samtryggingard.'!AP44</f>
        <v>6453.63</v>
      </c>
      <c r="AK44" s="8">
        <f>+'4.1. Samtryggingard.'!AQ44</f>
        <v>559</v>
      </c>
      <c r="AL44" s="8">
        <f>+'4.1. Samtryggingard.'!AR44</f>
        <v>4371</v>
      </c>
      <c r="AM44" s="8">
        <f>+'4.1. Samtryggingard.'!AS44</f>
        <v>1728</v>
      </c>
      <c r="AN44" s="8">
        <f>+'4.1. Samtryggingard.'!AT44</f>
        <v>992.072</v>
      </c>
      <c r="AO44" s="8">
        <f>+'4.1. Samtryggingard.'!AU44</f>
        <v>394.17</v>
      </c>
      <c r="AP44" s="8">
        <f>+'4.1. Samtryggingard.'!AV44</f>
        <v>2527</v>
      </c>
      <c r="AQ44" s="8">
        <f>+'4.1. Samtryggingard.'!AW44</f>
        <v>1245</v>
      </c>
      <c r="AR44" s="8">
        <f>+'4.1. Samtryggingard.'!AX44</f>
        <v>247</v>
      </c>
      <c r="AS44" s="8">
        <f>+'4.1. Samtryggingard.'!AY44</f>
        <v>2545.365</v>
      </c>
      <c r="AT44" s="8">
        <f>+'4.1. Samtryggingard.'!AZ44</f>
        <v>1573</v>
      </c>
      <c r="AU44" s="8">
        <f>+'4.1. Samtryggingard.'!BA44</f>
        <v>590</v>
      </c>
      <c r="AV44" s="8">
        <f>+'4.1. Samtryggingard.'!BB44</f>
        <v>0</v>
      </c>
      <c r="AW44" s="8">
        <f>+'4.1. Samtryggingard.'!BC44</f>
        <v>291</v>
      </c>
      <c r="AX44" s="18"/>
      <c r="AY44" s="18">
        <f>SUM(B44:AW44)</f>
        <v>1343162.4844999998</v>
      </c>
      <c r="AZ44" s="7"/>
    </row>
    <row r="45" spans="1:52" ht="12.75">
      <c r="A45" s="17" t="s">
        <v>295</v>
      </c>
      <c r="B45" s="8">
        <f>+'4.1. Samtryggingard.'!B45+'4.1. Samtryggingard.'!C45+'5.1. Séreignard.'!B45+'5.1. Séreignard.'!C45+'5.1. Séreignard.'!D45</f>
        <v>8611.8</v>
      </c>
      <c r="C45" s="8">
        <f>+'4.1. Samtryggingard.'!D45+'5.1. Séreignard.'!E45</f>
        <v>0</v>
      </c>
      <c r="D45" s="8">
        <f>+'4.1. Samtryggingard.'!E45+'5.1. Séreignard.'!F45+'5.1. Séreignard.'!G45</f>
        <v>0</v>
      </c>
      <c r="E45" s="79">
        <f>+'4.1. Samtryggingard.'!F45+'5.1. Séreignard.'!H45+'5.1. Séreignard.'!I45+'5.1. Séreignard.'!J45</f>
        <v>13306</v>
      </c>
      <c r="F45" s="79">
        <f>+'4.1. Samtryggingard.'!G45+'4.1. Samtryggingard.'!H45+'5.1. Séreignard.'!K45+'5.1. Séreignard.'!L45</f>
        <v>41150</v>
      </c>
      <c r="G45" s="18">
        <f>+'4.1. Samtryggingard.'!I45+'5.1. Séreignard.'!M45+'5.1. Séreignard.'!N45</f>
        <v>33045</v>
      </c>
      <c r="H45" s="8">
        <f>+'4.1. Samtryggingard.'!J45+'5.1. Séreignard.'!O45+'5.1. Séreignard.'!P45</f>
        <v>0</v>
      </c>
      <c r="I45" s="8">
        <f>+'4.1. Samtryggingard.'!K45+'5.1. Séreignard.'!R45</f>
        <v>0</v>
      </c>
      <c r="J45" s="8">
        <f>+'4.1. Samtryggingard.'!L45+'5.1. Séreignard.'!S45+'5.1. Séreignard.'!T45+'5.1. Séreignard.'!U45+'5.1. Séreignard.'!V45</f>
        <v>0</v>
      </c>
      <c r="K45" s="8">
        <f>+'4.1. Samtryggingard.'!M45+'5.1. Séreignard.'!W45+'5.1. Séreignard.'!X45</f>
        <v>0</v>
      </c>
      <c r="L45" s="8">
        <f>+'4.1. Samtryggingard.'!N45+'4.1. Samtryggingard.'!O45</f>
        <v>0</v>
      </c>
      <c r="M45" s="8">
        <f>+'4.1. Samtryggingard.'!P45+'4.1. Samtryggingard.'!Q45+'5.1. Séreignard.'!Y45</f>
        <v>0</v>
      </c>
      <c r="N45" s="79">
        <f>+'4.1. Samtryggingard.'!R45</f>
        <v>0</v>
      </c>
      <c r="O45" s="8">
        <f>+'4.1. Samtryggingard.'!S45+'5.1. Séreignard.'!Z45</f>
        <v>0</v>
      </c>
      <c r="P45" s="8">
        <f>+'4.1. Samtryggingard.'!T45+'5.1. Séreignard.'!AA45</f>
        <v>0</v>
      </c>
      <c r="Q45" s="79">
        <f>+'4.1. Samtryggingard.'!U45+'5.1. Séreignard.'!AB45</f>
        <v>0</v>
      </c>
      <c r="R45" s="135">
        <f>+'4.1. Samtryggingard.'!V45</f>
        <v>957</v>
      </c>
      <c r="S45" s="79">
        <f>+'4.1. Samtryggingard.'!W45</f>
        <v>0</v>
      </c>
      <c r="T45" s="79">
        <f>+'4.1. Samtryggingard.'!X45+'5.1. Séreignard.'!AC45+'5.1. Séreignard.'!AD45</f>
        <v>0</v>
      </c>
      <c r="U45" s="79">
        <f>+'4.1. Samtryggingard.'!Y45</f>
        <v>3392</v>
      </c>
      <c r="V45" s="8">
        <f>+'4.1. Samtryggingard.'!Z45+'4.1. Samtryggingard.'!AA45+'5.1. Séreignard.'!AE45+'5.1. Séreignard.'!AF45+'5.1. Séreignard.'!AG45</f>
        <v>0</v>
      </c>
      <c r="W45" s="135">
        <f>+'4.1. Samtryggingard.'!AB45+'5.1. Séreignard.'!AH45</f>
        <v>0</v>
      </c>
      <c r="X45" s="79">
        <f>+'4.1. Samtryggingard.'!AC45</f>
        <v>0</v>
      </c>
      <c r="Y45" s="8">
        <f>+'4.1. Samtryggingard.'!AD45+'5.1. Séreignard.'!AI45+'5.1. Séreignard.'!AJ45+'5.1. Séreignard.'!AK45+'5.1. Séreignard.'!AL45</f>
        <v>0</v>
      </c>
      <c r="Z45" s="79">
        <f>+'4.1. Samtryggingard.'!AE45</f>
        <v>0</v>
      </c>
      <c r="AA45" s="8">
        <f>+'4.1. Samtryggingard.'!AF45</f>
        <v>0</v>
      </c>
      <c r="AB45" s="8">
        <f>+'4.1. Samtryggingard.'!AG45</f>
        <v>0</v>
      </c>
      <c r="AC45" s="8">
        <f>+'4.1. Samtryggingard.'!AH45</f>
        <v>1126</v>
      </c>
      <c r="AD45" s="8">
        <f>+'4.1. Samtryggingard.'!AI45+'4.1. Samtryggingard.'!AJ45</f>
        <v>0</v>
      </c>
      <c r="AE45" s="8">
        <f>+'4.1. Samtryggingard.'!AK45+'5.1. Séreignard.'!AM45</f>
        <v>0</v>
      </c>
      <c r="AF45" s="8">
        <f>+'4.1. Samtryggingard.'!AL45</f>
        <v>0</v>
      </c>
      <c r="AG45" s="8">
        <f>+'4.1. Samtryggingard.'!AM45</f>
        <v>0</v>
      </c>
      <c r="AH45" s="8">
        <f>+'4.1. Samtryggingard.'!AN45+'5.1. Séreignard.'!AN45</f>
        <v>0</v>
      </c>
      <c r="AI45" s="8">
        <f>+'4.1. Samtryggingard.'!AO45</f>
        <v>6020</v>
      </c>
      <c r="AJ45" s="8">
        <f>+'4.1. Samtryggingard.'!AP45</f>
        <v>387</v>
      </c>
      <c r="AK45" s="8">
        <f>+'4.1. Samtryggingard.'!AQ45</f>
        <v>1667</v>
      </c>
      <c r="AL45" s="8">
        <f>+'4.1. Samtryggingard.'!AR45</f>
        <v>0</v>
      </c>
      <c r="AM45" s="8">
        <f>+'4.1. Samtryggingard.'!AS45</f>
        <v>0</v>
      </c>
      <c r="AN45" s="8">
        <f>+'4.1. Samtryggingard.'!AT45</f>
        <v>0</v>
      </c>
      <c r="AO45" s="8">
        <f>+'4.1. Samtryggingard.'!AU45</f>
        <v>1314.171</v>
      </c>
      <c r="AP45" s="8">
        <f>+'4.1. Samtryggingard.'!AV45</f>
        <v>0</v>
      </c>
      <c r="AQ45" s="8">
        <f>+'4.1. Samtryggingard.'!AW45</f>
        <v>0</v>
      </c>
      <c r="AR45" s="8">
        <f>+'4.1. Samtryggingard.'!AX45</f>
        <v>0</v>
      </c>
      <c r="AS45" s="8">
        <f>+'4.1. Samtryggingard.'!AY45</f>
        <v>0</v>
      </c>
      <c r="AT45" s="8">
        <f>+'4.1. Samtryggingard.'!AZ45</f>
        <v>0</v>
      </c>
      <c r="AU45" s="8">
        <f>+'4.1. Samtryggingard.'!BA45</f>
        <v>1863</v>
      </c>
      <c r="AV45" s="8">
        <f>+'4.1. Samtryggingard.'!BB45</f>
        <v>220</v>
      </c>
      <c r="AW45" s="8">
        <f>+'4.1. Samtryggingard.'!BC45</f>
        <v>370</v>
      </c>
      <c r="AX45" s="18"/>
      <c r="AY45" s="18">
        <f>SUM(B45:AW45)</f>
        <v>113428.971</v>
      </c>
      <c r="AZ45" s="7"/>
    </row>
    <row r="46" spans="1:52" ht="5.25" customHeight="1">
      <c r="A46" s="56"/>
      <c r="C46" s="11"/>
      <c r="D46" s="8"/>
      <c r="E46" s="11"/>
      <c r="F46" s="79"/>
      <c r="G46" s="8"/>
      <c r="K46" s="7"/>
      <c r="M46" s="11"/>
      <c r="N46" s="19"/>
      <c r="Q46" s="11"/>
      <c r="R46" s="135"/>
      <c r="S46" s="11"/>
      <c r="T46" s="11"/>
      <c r="U46" s="11"/>
      <c r="W46" s="135"/>
      <c r="X46" s="11"/>
      <c r="Z46" s="11"/>
      <c r="AB46" s="11"/>
      <c r="AC46" s="19"/>
      <c r="AF46" s="11"/>
      <c r="AG46" s="11"/>
      <c r="AI46" s="50"/>
      <c r="AL46" s="11"/>
      <c r="AN46" s="11"/>
      <c r="AO46" s="11"/>
      <c r="AP46" s="11"/>
      <c r="AQ46" s="11"/>
      <c r="AS46" s="11"/>
      <c r="AT46" s="11"/>
      <c r="AU46" s="11"/>
      <c r="AW46" s="11"/>
      <c r="AX46" s="18"/>
      <c r="AZ46" s="7"/>
    </row>
    <row r="47" spans="1:52" ht="12.75">
      <c r="A47" s="217" t="s">
        <v>296</v>
      </c>
      <c r="B47" s="7">
        <f>SUM(B44:B46)</f>
        <v>211874.19999999998</v>
      </c>
      <c r="C47" s="7">
        <f aca="true" t="shared" si="6" ref="C47:AW47">SUM(C44:C46)</f>
        <v>156638</v>
      </c>
      <c r="D47" s="7">
        <f t="shared" si="6"/>
        <v>128074.76800000001</v>
      </c>
      <c r="E47" s="7">
        <f t="shared" si="6"/>
        <v>79656</v>
      </c>
      <c r="F47" s="7">
        <f t="shared" si="6"/>
        <v>90515</v>
      </c>
      <c r="G47" s="7">
        <f t="shared" si="6"/>
        <v>56510</v>
      </c>
      <c r="H47" s="7">
        <f>SUM(H44:H46)</f>
        <v>56945</v>
      </c>
      <c r="I47" s="7">
        <f t="shared" si="6"/>
        <v>53841</v>
      </c>
      <c r="J47" s="7">
        <f t="shared" si="6"/>
        <v>44348.0585</v>
      </c>
      <c r="K47" s="7">
        <f t="shared" si="6"/>
        <v>41568</v>
      </c>
      <c r="L47" s="7">
        <f t="shared" si="6"/>
        <v>37229</v>
      </c>
      <c r="M47" s="7">
        <f t="shared" si="6"/>
        <v>43586</v>
      </c>
      <c r="N47" s="7">
        <f>SUM(N44:N46)</f>
        <v>15117</v>
      </c>
      <c r="O47" s="7">
        <f t="shared" si="6"/>
        <v>25377</v>
      </c>
      <c r="P47" s="7">
        <f t="shared" si="6"/>
        <v>44178</v>
      </c>
      <c r="Q47" s="7">
        <f t="shared" si="6"/>
        <v>33912</v>
      </c>
      <c r="R47" s="7">
        <f>SUM(R44:R46)</f>
        <v>18560</v>
      </c>
      <c r="S47" s="7">
        <f t="shared" si="6"/>
        <v>36979</v>
      </c>
      <c r="T47" s="7">
        <f t="shared" si="6"/>
        <v>22062</v>
      </c>
      <c r="U47" s="7">
        <f t="shared" si="6"/>
        <v>27410</v>
      </c>
      <c r="V47" s="7">
        <f>SUM(V44:V46)</f>
        <v>43799.652</v>
      </c>
      <c r="W47" s="7">
        <f>SUM(W44:W46)</f>
        <v>15603</v>
      </c>
      <c r="X47" s="7">
        <f t="shared" si="6"/>
        <v>40083.656</v>
      </c>
      <c r="Y47" s="7">
        <f>SUM(Y44:Y46)</f>
        <v>42804.03599999999</v>
      </c>
      <c r="Z47" s="7">
        <f t="shared" si="6"/>
        <v>7704</v>
      </c>
      <c r="AA47" s="7">
        <f t="shared" si="6"/>
        <v>2244.677</v>
      </c>
      <c r="AB47" s="7">
        <f t="shared" si="6"/>
        <v>17809</v>
      </c>
      <c r="AC47" s="7">
        <f t="shared" si="6"/>
        <v>2600</v>
      </c>
      <c r="AD47" s="7">
        <f t="shared" si="6"/>
        <v>8319</v>
      </c>
      <c r="AE47" s="7">
        <f t="shared" si="6"/>
        <v>4392</v>
      </c>
      <c r="AF47" s="7">
        <f t="shared" si="6"/>
        <v>4628</v>
      </c>
      <c r="AG47" s="7">
        <f t="shared" si="6"/>
        <v>976</v>
      </c>
      <c r="AH47" s="7">
        <f>SUM(AH44:AH46)</f>
        <v>3587</v>
      </c>
      <c r="AI47" s="7">
        <f t="shared" si="6"/>
        <v>8324</v>
      </c>
      <c r="AJ47" s="7">
        <f t="shared" si="6"/>
        <v>6840.63</v>
      </c>
      <c r="AK47" s="7">
        <f t="shared" si="6"/>
        <v>2226</v>
      </c>
      <c r="AL47" s="7">
        <f t="shared" si="6"/>
        <v>4371</v>
      </c>
      <c r="AM47" s="7">
        <f t="shared" si="6"/>
        <v>1728</v>
      </c>
      <c r="AN47" s="7">
        <f t="shared" si="6"/>
        <v>992.072</v>
      </c>
      <c r="AO47" s="7">
        <f t="shared" si="6"/>
        <v>1708.3410000000001</v>
      </c>
      <c r="AP47" s="7">
        <f t="shared" si="6"/>
        <v>2527</v>
      </c>
      <c r="AQ47" s="7">
        <f t="shared" si="6"/>
        <v>1245</v>
      </c>
      <c r="AR47" s="7">
        <f t="shared" si="6"/>
        <v>247</v>
      </c>
      <c r="AS47" s="7">
        <f t="shared" si="6"/>
        <v>2545.365</v>
      </c>
      <c r="AT47" s="7">
        <f t="shared" si="6"/>
        <v>1573</v>
      </c>
      <c r="AU47" s="7">
        <f t="shared" si="6"/>
        <v>2453</v>
      </c>
      <c r="AV47" s="7">
        <f>SUM(AV44:AV46)</f>
        <v>220</v>
      </c>
      <c r="AW47" s="7">
        <f t="shared" si="6"/>
        <v>661</v>
      </c>
      <c r="AX47" s="18"/>
      <c r="AY47" s="18">
        <f>SUM(B47:AW47)</f>
        <v>1456591.4555</v>
      </c>
      <c r="AZ47" s="7"/>
    </row>
    <row r="48" spans="1:52" ht="8.25" customHeight="1">
      <c r="A48" s="56"/>
      <c r="C48" s="11"/>
      <c r="D48" s="8"/>
      <c r="E48" s="11"/>
      <c r="F48" s="11"/>
      <c r="K48" s="7"/>
      <c r="M48" s="11"/>
      <c r="N48" s="19"/>
      <c r="Q48" s="11"/>
      <c r="R48" s="135"/>
      <c r="S48" s="11"/>
      <c r="T48" s="11"/>
      <c r="U48" s="11"/>
      <c r="W48" s="135"/>
      <c r="X48" s="11"/>
      <c r="Z48" s="11"/>
      <c r="AB48" s="11"/>
      <c r="AC48" s="19"/>
      <c r="AF48" s="11"/>
      <c r="AG48" s="11"/>
      <c r="AI48" s="50"/>
      <c r="AL48" s="11"/>
      <c r="AN48" s="11"/>
      <c r="AO48" s="11"/>
      <c r="AP48" s="11"/>
      <c r="AQ48" s="11"/>
      <c r="AS48" s="11"/>
      <c r="AT48" s="11"/>
      <c r="AU48" s="11"/>
      <c r="AW48" s="11"/>
      <c r="AX48" s="18"/>
      <c r="AZ48" s="7"/>
    </row>
    <row r="49" spans="1:52" ht="12.75">
      <c r="A49" s="15" t="s">
        <v>297</v>
      </c>
      <c r="B49" s="7">
        <f>+'4.1. Samtryggingard.'!B48+'4.1. Samtryggingard.'!C48+'5.1. Séreignard.'!B48+'5.1. Séreignard.'!C48+'5.1. Séreignard.'!D48</f>
        <v>0</v>
      </c>
      <c r="C49" s="8">
        <f>+'4.1. Samtryggingard.'!D48+'5.1. Séreignard.'!E48</f>
        <v>53128</v>
      </c>
      <c r="D49" s="8">
        <f>+'4.1. Samtryggingard.'!E48+'5.1. Séreignard.'!F48+'5.1. Séreignard.'!G48</f>
        <v>25978</v>
      </c>
      <c r="E49" s="7">
        <f>+'4.1. Samtryggingard.'!F48+'5.1. Séreignard.'!H48+'5.1. Séreignard.'!I48+'5.1. Séreignard.'!J48</f>
        <v>0</v>
      </c>
      <c r="F49" s="7">
        <f>+'4.1. Samtryggingard.'!G48+'4.1. Samtryggingard.'!H48+'5.1. Séreignard.'!K48+'5.1. Séreignard.'!L48</f>
        <v>0</v>
      </c>
      <c r="G49" s="7">
        <f>+'4.1. Samtryggingard.'!I48+'5.1. Séreignard.'!M48+'5.1. Séreignard.'!N48</f>
        <v>0</v>
      </c>
      <c r="H49" s="7">
        <f>+'4.1. Samtryggingard.'!J48+'5.1. Séreignard.'!O48+'5.1. Séreignard.'!P48+'5.1. Séreignard.'!Q48</f>
        <v>0</v>
      </c>
      <c r="I49" s="7">
        <f>+'4.1. Samtryggingard.'!K48+'5.1. Séreignard.'!R48</f>
        <v>0</v>
      </c>
      <c r="J49" s="7">
        <f>+'4.1. Samtryggingard.'!L48+'5.1. Séreignard.'!S48+'5.1. Séreignard.'!T48+'5.1. Séreignard.'!U48+'5.1. Séreignard.'!V48</f>
        <v>0</v>
      </c>
      <c r="K49" s="18">
        <f>+'4.1. Samtryggingard.'!M48+'5.1. Séreignard.'!W48+'5.1. Séreignard.'!X48</f>
        <v>0</v>
      </c>
      <c r="L49" s="7">
        <f>+'4.1. Samtryggingard.'!N48+'4.1. Samtryggingard.'!O48</f>
        <v>0</v>
      </c>
      <c r="M49" s="7">
        <f>+'4.1. Samtryggingard.'!P48+'4.1. Samtryggingard.'!Q48+'5.1. Séreignard.'!Y48</f>
        <v>0</v>
      </c>
      <c r="N49" s="7">
        <f>+'4.1. Samtryggingard.'!R48</f>
        <v>0</v>
      </c>
      <c r="O49" s="7">
        <f>+'4.1. Samtryggingard.'!S48+'5.1. Séreignard.'!Z48</f>
        <v>0</v>
      </c>
      <c r="P49" s="7">
        <f>+'4.1. Samtryggingard.'!T48+'5.1. Séreignard.'!AA48</f>
        <v>0</v>
      </c>
      <c r="Q49" s="7">
        <f>+'4.1. Samtryggingard.'!U48+'5.1. Séreignard.'!AB48</f>
        <v>1896</v>
      </c>
      <c r="R49" s="135">
        <f>+'4.1. Samtryggingard.'!V48</f>
        <v>0</v>
      </c>
      <c r="S49" s="7">
        <f>+'4.1. Samtryggingard.'!W48</f>
        <v>4952</v>
      </c>
      <c r="T49" s="7">
        <f>+'4.1. Samtryggingard.'!X48+'5.1. Séreignard.'!AC48+'5.1. Séreignard.'!AD48</f>
        <v>0</v>
      </c>
      <c r="U49" s="7">
        <f>+'4.1. Samtryggingard.'!Y48</f>
        <v>0</v>
      </c>
      <c r="V49" s="7">
        <f>+'4.1. Samtryggingard.'!Z48+'4.1. Samtryggingard.'!AA48+'5.1. Séreignard.'!AE48+'5.1. Séreignard.'!AF48+'5.1. Séreignard.'!AG48</f>
        <v>0</v>
      </c>
      <c r="W49" s="135">
        <f>+'4.1. Samtryggingard.'!AB48+'5.1. Séreignard.'!AH48</f>
        <v>36</v>
      </c>
      <c r="X49" s="7">
        <f>+'4.1. Samtryggingard.'!AC48</f>
        <v>0</v>
      </c>
      <c r="Y49" s="7">
        <f>+'4.1. Samtryggingard.'!AD48+'5.1. Séreignard.'!AI48+'5.1. Séreignard.'!AJ48+'5.1. Séreignard.'!AK48+'5.1. Séreignard.'!AL48</f>
        <v>0</v>
      </c>
      <c r="Z49" s="7">
        <f>+'4.1. Samtryggingard.'!AE48</f>
        <v>0</v>
      </c>
      <c r="AA49" s="7">
        <f>+'4.1. Samtryggingard.'!AF48</f>
        <v>0</v>
      </c>
      <c r="AB49" s="7">
        <f>+'4.1. Samtryggingard.'!AG48</f>
        <v>0</v>
      </c>
      <c r="AC49" s="7">
        <f>+'4.1. Samtryggingard.'!AH48</f>
        <v>0</v>
      </c>
      <c r="AD49" s="7">
        <f>+'4.1. Samtryggingard.'!AI48+'4.1. Samtryggingard.'!AJ48</f>
        <v>0</v>
      </c>
      <c r="AE49" s="7">
        <f>+'4.1. Samtryggingard.'!AK48+'5.1. Séreignard.'!AM48</f>
        <v>1416</v>
      </c>
      <c r="AF49" s="7">
        <f>+'4.1. Samtryggingard.'!AL48</f>
        <v>0</v>
      </c>
      <c r="AG49" s="7">
        <f>+'4.1. Samtryggingard.'!AM48</f>
        <v>0</v>
      </c>
      <c r="AH49" s="7">
        <f>+'4.1. Samtryggingard.'!AN48+'5.1. Séreignard.'!AN48</f>
        <v>0</v>
      </c>
      <c r="AI49" s="7">
        <f>+'4.1. Samtryggingard.'!AO48</f>
        <v>10802</v>
      </c>
      <c r="AJ49" s="7">
        <f>+'4.1. Samtryggingard.'!AP48</f>
        <v>0</v>
      </c>
      <c r="AK49" s="7">
        <f>+'4.1. Samtryggingard.'!AQ48</f>
        <v>0</v>
      </c>
      <c r="AL49" s="7">
        <f>+'4.1. Samtryggingard.'!AR48</f>
        <v>0</v>
      </c>
      <c r="AM49" s="7">
        <f>+'4.1. Samtryggingard.'!AS48</f>
        <v>0</v>
      </c>
      <c r="AN49" s="7">
        <f>+'4.1. Samtryggingard.'!AT48</f>
        <v>0</v>
      </c>
      <c r="AO49" s="7">
        <f>+'4.1. Samtryggingard.'!AU48</f>
        <v>0</v>
      </c>
      <c r="AP49" s="7">
        <f>+'4.1. Samtryggingard.'!AV48</f>
        <v>0</v>
      </c>
      <c r="AQ49" s="7">
        <f>+'4.1. Samtryggingard.'!AW48</f>
        <v>0</v>
      </c>
      <c r="AR49" s="7">
        <f>+'4.1. Samtryggingard.'!AX48</f>
        <v>0</v>
      </c>
      <c r="AS49" s="7">
        <f>+'4.1. Samtryggingard.'!AY48</f>
        <v>0</v>
      </c>
      <c r="AT49" s="7">
        <f>+'4.1. Samtryggingard.'!AZ48</f>
        <v>0</v>
      </c>
      <c r="AU49" s="7">
        <f>+'4.1. Samtryggingard.'!BA48</f>
        <v>0</v>
      </c>
      <c r="AV49" s="7">
        <f>+'4.1. Samtryggingard.'!BB48</f>
        <v>0</v>
      </c>
      <c r="AW49" s="7">
        <f>+'4.1. Samtryggingard.'!BC48</f>
        <v>0</v>
      </c>
      <c r="AX49" s="18"/>
      <c r="AY49" s="18">
        <f>SUM(B49:AW49)</f>
        <v>98208</v>
      </c>
      <c r="AZ49" s="7"/>
    </row>
    <row r="50" spans="1:52" ht="8.25" customHeight="1">
      <c r="A50" s="56"/>
      <c r="C50" s="11"/>
      <c r="D50" s="8"/>
      <c r="E50" s="11"/>
      <c r="F50" s="7"/>
      <c r="G50" s="7"/>
      <c r="H50" s="7"/>
      <c r="I50" s="7"/>
      <c r="J50" s="7"/>
      <c r="L50" s="7"/>
      <c r="M50" s="7"/>
      <c r="N50" s="7"/>
      <c r="O50" s="7"/>
      <c r="P50" s="7"/>
      <c r="Q50" s="7"/>
      <c r="R50" s="135"/>
      <c r="S50" s="7"/>
      <c r="T50" s="7"/>
      <c r="U50" s="7"/>
      <c r="V50" s="7"/>
      <c r="W50" s="13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8"/>
      <c r="AZ50" s="7"/>
    </row>
    <row r="51" spans="1:52" ht="12.75">
      <c r="A51" s="15" t="s">
        <v>298</v>
      </c>
      <c r="B51" s="7">
        <f>+'4.1. Samtryggingard.'!B50+'4.1. Samtryggingard.'!C50+'5.1. Séreignard.'!B50+'5.1. Séreignard.'!C50+'5.1. Séreignard.'!D50</f>
        <v>0</v>
      </c>
      <c r="C51" s="8">
        <f>+'4.1. Samtryggingard.'!D50+'5.1. Séreignard.'!E50</f>
        <v>0</v>
      </c>
      <c r="D51" s="8">
        <f>+'4.1. Samtryggingard.'!E50+'5.1. Séreignard.'!F50+'5.1. Séreignard.'!G50</f>
        <v>0</v>
      </c>
      <c r="E51" s="7">
        <f>+'4.1. Samtryggingard.'!F50+'5.1. Séreignard.'!H50+'5.1. Séreignard.'!I50+'5.1. Séreignard.'!J50</f>
        <v>0</v>
      </c>
      <c r="F51" s="7">
        <f>+'4.1. Samtryggingard.'!G50+'4.1. Samtryggingard.'!H50+'5.1. Séreignard.'!K50+'5.1. Séreignard.'!L50</f>
        <v>0</v>
      </c>
      <c r="G51" s="7">
        <f>+'4.1. Samtryggingard.'!I50+'5.1. Séreignard.'!M50+'5.1. Séreignard.'!N50</f>
        <v>0</v>
      </c>
      <c r="H51" s="7">
        <f>+'4.1. Samtryggingard.'!J50+'5.1. Séreignard.'!O50+'5.1. Séreignard.'!P50+'5.1. Séreignard.'!Q50</f>
        <v>0</v>
      </c>
      <c r="I51" s="7">
        <f>+'4.1. Samtryggingard.'!K50+'5.1. Séreignard.'!R50</f>
        <v>0</v>
      </c>
      <c r="J51" s="7">
        <f>+'4.1. Samtryggingard.'!L50+'5.1. Séreignard.'!S50+'5.1. Séreignard.'!T50+'5.1. Séreignard.'!U50+'5.1. Séreignard.'!V50</f>
        <v>0</v>
      </c>
      <c r="K51" s="18">
        <f>+'4.1. Samtryggingard.'!M50+'5.1. Séreignard.'!W50+'5.1. Séreignard.'!X50</f>
        <v>0</v>
      </c>
      <c r="L51" s="7">
        <f>+'4.1. Samtryggingard.'!N50+'4.1. Samtryggingard.'!O50</f>
        <v>0</v>
      </c>
      <c r="M51" s="7">
        <f>+'4.1. Samtryggingard.'!P50+'4.1. Samtryggingard.'!Q50+'5.1. Séreignard.'!Y50</f>
        <v>0</v>
      </c>
      <c r="N51" s="7">
        <f>+'4.1. Samtryggingard.'!R50</f>
        <v>0</v>
      </c>
      <c r="O51" s="7">
        <f>+'4.1. Samtryggingard.'!S50+'5.1. Séreignard.'!Z50</f>
        <v>0</v>
      </c>
      <c r="P51" s="7">
        <f>+'4.1. Samtryggingard.'!T50+'5.1. Séreignard.'!AA50</f>
        <v>0</v>
      </c>
      <c r="Q51" s="7">
        <f>+'4.1. Samtryggingard.'!U50+'5.1. Séreignard.'!AB50</f>
        <v>0</v>
      </c>
      <c r="R51" s="135">
        <f>+'4.1. Samtryggingard.'!V50</f>
        <v>0</v>
      </c>
      <c r="S51" s="7">
        <f>+'4.1. Samtryggingard.'!W50</f>
        <v>0</v>
      </c>
      <c r="T51" s="7">
        <f>+'4.1. Samtryggingard.'!X50+'5.1. Séreignard.'!AC50+'5.1. Séreignard.'!AD50</f>
        <v>0</v>
      </c>
      <c r="U51" s="7">
        <f>+'4.1. Samtryggingard.'!Y50</f>
        <v>0</v>
      </c>
      <c r="V51" s="7">
        <f>+'4.1. Samtryggingard.'!Z50+'4.1. Samtryggingard.'!AA50+'5.1. Séreignard.'!AE50+'5.1. Séreignard.'!AF50+'5.1. Séreignard.'!AG50</f>
        <v>0</v>
      </c>
      <c r="W51" s="135">
        <f>+'4.1. Samtryggingard.'!AB50+'5.1. Séreignard.'!AH50</f>
        <v>0</v>
      </c>
      <c r="X51" s="7">
        <f>+'4.1. Samtryggingard.'!AC50</f>
        <v>0</v>
      </c>
      <c r="Y51" s="7">
        <f>+'4.1. Samtryggingard.'!AD50+'5.1. Séreignard.'!AI50+'5.1. Séreignard.'!AJ50+'5.1. Séreignard.'!AK50+'5.1. Séreignard.'!AL50</f>
        <v>0</v>
      </c>
      <c r="Z51" s="7">
        <f>+'4.1. Samtryggingard.'!AE50</f>
        <v>0</v>
      </c>
      <c r="AA51" s="7">
        <f>+'4.1. Samtryggingard.'!AF50</f>
        <v>0</v>
      </c>
      <c r="AB51" s="7">
        <f>+'4.1. Samtryggingard.'!AG50</f>
        <v>0</v>
      </c>
      <c r="AC51" s="7">
        <f>+'4.1. Samtryggingard.'!AH50</f>
        <v>0</v>
      </c>
      <c r="AD51" s="7">
        <f>+'4.1. Samtryggingard.'!AI50+'4.1. Samtryggingard.'!AJ50</f>
        <v>0</v>
      </c>
      <c r="AE51" s="7">
        <f>+'4.1. Samtryggingard.'!AK50+'5.1. Séreignard.'!AM50</f>
        <v>0</v>
      </c>
      <c r="AF51" s="7">
        <f>+'4.1. Samtryggingard.'!AL50</f>
        <v>0</v>
      </c>
      <c r="AG51" s="7">
        <f>+'4.1. Samtryggingard.'!AM50</f>
        <v>0</v>
      </c>
      <c r="AH51" s="7">
        <f>+'4.1. Samtryggingard.'!AN50+'5.1. Séreignard.'!AN50</f>
        <v>0</v>
      </c>
      <c r="AI51" s="7">
        <f>+'4.1. Samtryggingard.'!AO50</f>
        <v>0</v>
      </c>
      <c r="AJ51" s="7">
        <f>+'4.1. Samtryggingard.'!AP50</f>
        <v>0</v>
      </c>
      <c r="AK51" s="7">
        <f>+'4.1. Samtryggingard.'!AQ50</f>
        <v>0</v>
      </c>
      <c r="AL51" s="7">
        <f>+'4.1. Samtryggingard.'!AR50</f>
        <v>0</v>
      </c>
      <c r="AM51" s="7">
        <f>+'4.1. Samtryggingard.'!AS50</f>
        <v>0</v>
      </c>
      <c r="AN51" s="7">
        <f>+'4.1. Samtryggingard.'!AT50</f>
        <v>0</v>
      </c>
      <c r="AO51" s="7">
        <f>+'4.1. Samtryggingard.'!AU50</f>
        <v>0</v>
      </c>
      <c r="AP51" s="7">
        <f>+'4.1. Samtryggingard.'!AV50</f>
        <v>0</v>
      </c>
      <c r="AQ51" s="7">
        <f>+'4.1. Samtryggingard.'!AW50</f>
        <v>0</v>
      </c>
      <c r="AR51" s="7">
        <f>+'4.1. Samtryggingard.'!AX50</f>
        <v>0</v>
      </c>
      <c r="AS51" s="7">
        <f>+'4.1. Samtryggingard.'!AY50</f>
        <v>0</v>
      </c>
      <c r="AT51" s="7">
        <f>+'4.1. Samtryggingard.'!AZ50</f>
        <v>0</v>
      </c>
      <c r="AU51" s="7">
        <f>+'4.1. Samtryggingard.'!BA50</f>
        <v>0</v>
      </c>
      <c r="AV51" s="7">
        <f>+'4.1. Samtryggingard.'!BB50</f>
        <v>0</v>
      </c>
      <c r="AW51" s="7">
        <f>+'4.1. Samtryggingard.'!BC50</f>
        <v>0</v>
      </c>
      <c r="AX51" s="18"/>
      <c r="AY51" s="18">
        <f>SUM(B51:AW51)</f>
        <v>0</v>
      </c>
      <c r="AZ51" s="7"/>
    </row>
    <row r="52" spans="1:52" ht="8.25" customHeight="1">
      <c r="A52" s="56"/>
      <c r="C52" s="11"/>
      <c r="D52" s="8"/>
      <c r="E52" s="11"/>
      <c r="F52" s="11"/>
      <c r="M52" s="11"/>
      <c r="N52" s="19"/>
      <c r="Q52" s="11"/>
      <c r="R52" s="135"/>
      <c r="S52" s="11"/>
      <c r="T52" s="11"/>
      <c r="U52" s="11"/>
      <c r="W52" s="135"/>
      <c r="X52" s="11"/>
      <c r="Z52" s="11"/>
      <c r="AB52" s="11"/>
      <c r="AC52" s="19"/>
      <c r="AF52" s="11"/>
      <c r="AG52" s="11"/>
      <c r="AI52" s="50"/>
      <c r="AL52" s="11"/>
      <c r="AN52" s="11"/>
      <c r="AO52" s="11"/>
      <c r="AP52" s="11"/>
      <c r="AQ52" s="11"/>
      <c r="AS52" s="11"/>
      <c r="AT52" s="11"/>
      <c r="AU52" s="11"/>
      <c r="AW52" s="11"/>
      <c r="AX52" s="18"/>
      <c r="AZ52" s="7"/>
    </row>
    <row r="53" spans="1:52" ht="12.75">
      <c r="A53" s="15" t="s">
        <v>299</v>
      </c>
      <c r="C53" s="11"/>
      <c r="D53" s="8"/>
      <c r="E53" s="11"/>
      <c r="F53" s="11"/>
      <c r="G53" s="7"/>
      <c r="K53" s="7"/>
      <c r="M53" s="11"/>
      <c r="N53" s="19"/>
      <c r="Q53" s="11"/>
      <c r="R53" s="135"/>
      <c r="S53" s="11"/>
      <c r="T53" s="11"/>
      <c r="U53" s="11"/>
      <c r="W53" s="135">
        <v>0</v>
      </c>
      <c r="X53" s="11"/>
      <c r="Z53" s="11"/>
      <c r="AB53" s="11"/>
      <c r="AC53" s="19"/>
      <c r="AF53" s="11"/>
      <c r="AG53" s="11"/>
      <c r="AI53" s="50"/>
      <c r="AL53" s="11"/>
      <c r="AN53" s="11"/>
      <c r="AO53" s="11"/>
      <c r="AP53" s="11"/>
      <c r="AQ53" s="11"/>
      <c r="AS53" s="11"/>
      <c r="AT53" s="11"/>
      <c r="AU53" s="11"/>
      <c r="AW53" s="11"/>
      <c r="AX53" s="18"/>
      <c r="AZ53" s="7"/>
    </row>
    <row r="54" spans="1:52" ht="12.75">
      <c r="A54" s="15" t="s">
        <v>300</v>
      </c>
      <c r="B54" s="7">
        <f>+B11-B19+B32-B41-B47+B49-B51</f>
        <v>33878541.3</v>
      </c>
      <c r="C54" s="7">
        <f aca="true" t="shared" si="7" ref="C54:AU54">+C11-C19+C32-C41-C47+C49-C51</f>
        <v>27044583</v>
      </c>
      <c r="D54" s="7">
        <f t="shared" si="7"/>
        <v>13203666.016</v>
      </c>
      <c r="E54" s="7">
        <f t="shared" si="7"/>
        <v>12204605</v>
      </c>
      <c r="F54" s="7">
        <f t="shared" si="7"/>
        <v>7482247</v>
      </c>
      <c r="G54" s="7">
        <f t="shared" si="7"/>
        <v>6756379</v>
      </c>
      <c r="H54" s="7">
        <f>+H11-H19+H32-H41-H47+H49-H51</f>
        <v>6807103.199999999</v>
      </c>
      <c r="I54" s="7">
        <f t="shared" si="7"/>
        <v>5457765</v>
      </c>
      <c r="J54" s="7">
        <f t="shared" si="7"/>
        <v>6931956.51040016</v>
      </c>
      <c r="K54" s="7">
        <f t="shared" si="7"/>
        <v>4422694</v>
      </c>
      <c r="L54" s="7">
        <f t="shared" si="7"/>
        <v>3098054</v>
      </c>
      <c r="M54" s="7">
        <f t="shared" si="7"/>
        <v>3955286</v>
      </c>
      <c r="N54" s="7">
        <f>+N11-N19+N32-N41-N47+N49-N51</f>
        <v>3060491.8</v>
      </c>
      <c r="O54" s="7">
        <f t="shared" si="7"/>
        <v>2680132</v>
      </c>
      <c r="P54" s="7">
        <f t="shared" si="7"/>
        <v>2649814.7550000004</v>
      </c>
      <c r="Q54" s="7">
        <f t="shared" si="7"/>
        <v>2849155</v>
      </c>
      <c r="R54" s="7">
        <f>+R11-R19+R32-R41-R47+R49-R51</f>
        <v>2582334</v>
      </c>
      <c r="S54" s="7">
        <f t="shared" si="7"/>
        <v>1715930</v>
      </c>
      <c r="T54" s="7">
        <f t="shared" si="7"/>
        <v>2139719</v>
      </c>
      <c r="U54" s="7">
        <f t="shared" si="7"/>
        <v>1197464</v>
      </c>
      <c r="V54" s="7">
        <f>+V11-V19+V32-V41-V47+V49-V51</f>
        <v>3258704.762</v>
      </c>
      <c r="W54" s="7">
        <f>+W11-W19+W32-W41-W47+W49-W51</f>
        <v>1711758</v>
      </c>
      <c r="X54" s="7">
        <f t="shared" si="7"/>
        <v>914766.0530000001</v>
      </c>
      <c r="Y54" s="7">
        <f>+Y11-Y19+Y32-Y41-Y47+Y49-Y51</f>
        <v>2606285.177</v>
      </c>
      <c r="Z54" s="7">
        <f t="shared" si="7"/>
        <v>1166461</v>
      </c>
      <c r="AA54" s="7">
        <f t="shared" si="7"/>
        <v>1568591.1390000002</v>
      </c>
      <c r="AB54" s="7">
        <f t="shared" si="7"/>
        <v>916525</v>
      </c>
      <c r="AC54" s="7">
        <f t="shared" si="7"/>
        <v>848118</v>
      </c>
      <c r="AD54" s="7">
        <f t="shared" si="7"/>
        <v>391233</v>
      </c>
      <c r="AE54" s="7">
        <f t="shared" si="7"/>
        <v>293719</v>
      </c>
      <c r="AF54" s="7">
        <f t="shared" si="7"/>
        <v>263209</v>
      </c>
      <c r="AG54" s="7">
        <f t="shared" si="7"/>
        <v>167815</v>
      </c>
      <c r="AH54" s="7">
        <f>+AH11-AH19+AH32-AH41-AH47+AH49-AH51</f>
        <v>256882</v>
      </c>
      <c r="AI54" s="7">
        <f t="shared" si="7"/>
        <v>146324</v>
      </c>
      <c r="AJ54" s="7">
        <f t="shared" si="7"/>
        <v>149989.37</v>
      </c>
      <c r="AK54" s="7">
        <f t="shared" si="7"/>
        <v>111901</v>
      </c>
      <c r="AL54" s="7">
        <f t="shared" si="7"/>
        <v>123251</v>
      </c>
      <c r="AM54" s="7">
        <f t="shared" si="7"/>
        <v>61248</v>
      </c>
      <c r="AN54" s="7">
        <f t="shared" si="7"/>
        <v>37229.37</v>
      </c>
      <c r="AO54" s="7">
        <f t="shared" si="7"/>
        <v>18882.005999999998</v>
      </c>
      <c r="AP54" s="7">
        <f t="shared" si="7"/>
        <v>57610</v>
      </c>
      <c r="AQ54" s="7">
        <f t="shared" si="7"/>
        <v>16122</v>
      </c>
      <c r="AR54" s="7">
        <f t="shared" si="7"/>
        <v>6068</v>
      </c>
      <c r="AS54" s="7">
        <f t="shared" si="7"/>
        <v>33105.49</v>
      </c>
      <c r="AT54" s="7">
        <f t="shared" si="7"/>
        <v>14854</v>
      </c>
      <c r="AU54" s="7">
        <f t="shared" si="7"/>
        <v>-9234</v>
      </c>
      <c r="AV54" s="7">
        <f>+AV11-AV19+AV32-AV41-AV47+AV49-AV51</f>
        <v>-376</v>
      </c>
      <c r="AW54" s="7">
        <f>+AW11-AW19+AW32-AW41-AW47+AW49-AW51</f>
        <v>-30291</v>
      </c>
      <c r="AX54" s="18"/>
      <c r="AY54" s="18">
        <f>SUM(B54:AW54)</f>
        <v>165218670.94840017</v>
      </c>
      <c r="AZ54" s="7"/>
    </row>
    <row r="55" spans="1:52" ht="8.25" customHeight="1">
      <c r="A55" s="56"/>
      <c r="C55" s="11"/>
      <c r="D55" s="8"/>
      <c r="E55" s="11"/>
      <c r="F55" s="11"/>
      <c r="N55" s="19"/>
      <c r="Q55" s="11"/>
      <c r="R55" s="135"/>
      <c r="S55" s="11"/>
      <c r="T55" s="11"/>
      <c r="U55" s="11"/>
      <c r="W55" s="135"/>
      <c r="X55" s="11"/>
      <c r="Z55" s="11"/>
      <c r="AB55" s="11"/>
      <c r="AC55" s="19"/>
      <c r="AF55" s="11"/>
      <c r="AG55" s="11"/>
      <c r="AI55" s="50"/>
      <c r="AL55" s="11"/>
      <c r="AN55" s="11"/>
      <c r="AO55" s="11"/>
      <c r="AP55" s="11"/>
      <c r="AQ55" s="11"/>
      <c r="AS55" s="11"/>
      <c r="AT55" s="11"/>
      <c r="AU55" s="11"/>
      <c r="AW55" s="11"/>
      <c r="AX55" s="18"/>
      <c r="AZ55" s="7"/>
    </row>
    <row r="56" spans="1:52" ht="12.75">
      <c r="A56" s="15" t="s">
        <v>301</v>
      </c>
      <c r="B56" s="7">
        <f>+B57-B58</f>
        <v>0</v>
      </c>
      <c r="C56" s="7">
        <f aca="true" t="shared" si="8" ref="C56:AW56">+C57-C58</f>
        <v>0</v>
      </c>
      <c r="D56" s="7">
        <f t="shared" si="8"/>
        <v>0</v>
      </c>
      <c r="E56" s="7">
        <f t="shared" si="8"/>
        <v>0</v>
      </c>
      <c r="F56" s="7">
        <f t="shared" si="8"/>
        <v>0</v>
      </c>
      <c r="G56" s="7">
        <f t="shared" si="8"/>
        <v>0</v>
      </c>
      <c r="H56" s="7">
        <f>+H57-H58</f>
        <v>0</v>
      </c>
      <c r="I56" s="7">
        <f t="shared" si="8"/>
        <v>0</v>
      </c>
      <c r="J56" s="7">
        <f t="shared" si="8"/>
        <v>0</v>
      </c>
      <c r="K56" s="7">
        <f t="shared" si="8"/>
        <v>0</v>
      </c>
      <c r="L56" s="7">
        <f t="shared" si="8"/>
        <v>0</v>
      </c>
      <c r="M56" s="7">
        <f t="shared" si="8"/>
        <v>0</v>
      </c>
      <c r="N56" s="7">
        <f>+N57-N58</f>
        <v>0</v>
      </c>
      <c r="O56" s="7">
        <f t="shared" si="8"/>
        <v>0</v>
      </c>
      <c r="P56" s="7">
        <f t="shared" si="8"/>
        <v>0</v>
      </c>
      <c r="Q56" s="7">
        <f t="shared" si="8"/>
        <v>0</v>
      </c>
      <c r="R56" s="7">
        <f>+R57-R58</f>
        <v>0</v>
      </c>
      <c r="S56" s="7">
        <f t="shared" si="8"/>
        <v>0</v>
      </c>
      <c r="T56" s="7">
        <f t="shared" si="8"/>
        <v>0</v>
      </c>
      <c r="U56" s="7">
        <f t="shared" si="8"/>
        <v>0</v>
      </c>
      <c r="V56" s="7">
        <f>+V57-V58</f>
        <v>0</v>
      </c>
      <c r="W56" s="7">
        <f>+W57-W58</f>
        <v>0</v>
      </c>
      <c r="X56" s="7">
        <f t="shared" si="8"/>
        <v>0</v>
      </c>
      <c r="Y56" s="7">
        <f>+Y57-Y58</f>
        <v>0</v>
      </c>
      <c r="Z56" s="7">
        <f t="shared" si="8"/>
        <v>0</v>
      </c>
      <c r="AA56" s="7">
        <f t="shared" si="8"/>
        <v>0</v>
      </c>
      <c r="AB56" s="7">
        <f t="shared" si="8"/>
        <v>0</v>
      </c>
      <c r="AC56" s="7">
        <f t="shared" si="8"/>
        <v>0</v>
      </c>
      <c r="AD56" s="7">
        <f t="shared" si="8"/>
        <v>0</v>
      </c>
      <c r="AE56" s="7">
        <f t="shared" si="8"/>
        <v>0</v>
      </c>
      <c r="AF56" s="7">
        <f t="shared" si="8"/>
        <v>0</v>
      </c>
      <c r="AG56" s="7">
        <f t="shared" si="8"/>
        <v>0</v>
      </c>
      <c r="AH56" s="7">
        <f>+AH57-AH58</f>
        <v>0</v>
      </c>
      <c r="AI56" s="7">
        <f t="shared" si="8"/>
        <v>0</v>
      </c>
      <c r="AJ56" s="7">
        <f t="shared" si="8"/>
        <v>0</v>
      </c>
      <c r="AK56" s="7">
        <f t="shared" si="8"/>
        <v>0</v>
      </c>
      <c r="AL56" s="7">
        <f t="shared" si="8"/>
        <v>0</v>
      </c>
      <c r="AM56" s="7">
        <f t="shared" si="8"/>
        <v>0</v>
      </c>
      <c r="AN56" s="7">
        <f t="shared" si="8"/>
        <v>0</v>
      </c>
      <c r="AO56" s="7">
        <f t="shared" si="8"/>
        <v>0</v>
      </c>
      <c r="AP56" s="7">
        <f t="shared" si="8"/>
        <v>0</v>
      </c>
      <c r="AQ56" s="7">
        <f t="shared" si="8"/>
        <v>2528</v>
      </c>
      <c r="AR56" s="7">
        <f t="shared" si="8"/>
        <v>0</v>
      </c>
      <c r="AS56" s="7">
        <f t="shared" si="8"/>
        <v>0</v>
      </c>
      <c r="AT56" s="7">
        <f t="shared" si="8"/>
        <v>0</v>
      </c>
      <c r="AU56" s="7">
        <f t="shared" si="8"/>
        <v>0</v>
      </c>
      <c r="AV56" s="7">
        <f>+AV57-AV58</f>
        <v>0</v>
      </c>
      <c r="AW56" s="7">
        <f t="shared" si="8"/>
        <v>0</v>
      </c>
      <c r="AX56" s="18"/>
      <c r="AY56" s="18">
        <f>SUM(B56:AW56)</f>
        <v>2528</v>
      </c>
      <c r="AZ56" s="7"/>
    </row>
    <row r="57" spans="1:52" ht="12.75">
      <c r="A57" s="17" t="s">
        <v>302</v>
      </c>
      <c r="B57" s="7">
        <f>+'4.1. Samtryggingard.'!B56+'4.1. Samtryggingard.'!C56+'5.1. Séreignard.'!B56+'5.1. Séreignard.'!C56+'5.1. Séreignard.'!D56</f>
        <v>0</v>
      </c>
      <c r="C57" s="8">
        <f>+'4.1. Samtryggingard.'!D56+'5.1. Séreignard.'!E56</f>
        <v>0</v>
      </c>
      <c r="D57" s="8">
        <f>+'4.1. Samtryggingard.'!E56+'5.1. Séreignard.'!F56+'5.1. Séreignard.'!G56</f>
        <v>0</v>
      </c>
      <c r="E57" s="7">
        <f>+'4.1. Samtryggingard.'!F56+'5.1. Séreignard.'!H56+'5.1. Séreignard.'!I56+'5.1. Séreignard.'!J56</f>
        <v>0</v>
      </c>
      <c r="F57" s="7">
        <f>+'4.1. Samtryggingard.'!G56+'4.1. Samtryggingard.'!H56+'5.1. Séreignard.'!K56+'5.1. Séreignard.'!L56</f>
        <v>0</v>
      </c>
      <c r="G57" s="18">
        <f>+'4.1. Samtryggingard.'!I56+'5.1. Séreignard.'!M56+'5.1. Séreignard.'!N56</f>
        <v>0</v>
      </c>
      <c r="H57" s="7">
        <f>+'4.1. Samtryggingard.'!J56+'5.1. Séreignard.'!O56+'5.1. Séreignard.'!P56+'5.1. Séreignard.'!Q56</f>
        <v>0</v>
      </c>
      <c r="I57" s="7">
        <f>+'4.1. Samtryggingard.'!K56+'5.1. Séreignard.'!R56</f>
        <v>0</v>
      </c>
      <c r="J57" s="7">
        <f>+'4.1. Samtryggingard.'!L56+'5.1. Séreignard.'!S56+'5.1. Séreignard.'!T56+'5.1. Séreignard.'!U56+'5.1. Séreignard.'!V56</f>
        <v>0</v>
      </c>
      <c r="K57" s="7">
        <f>+'4.1. Samtryggingard.'!M56+'5.1. Séreignard.'!W56+'5.1. Séreignard.'!X56</f>
        <v>0</v>
      </c>
      <c r="L57" s="7">
        <f>+'4.1. Samtryggingard.'!N56+'4.1. Samtryggingard.'!O56</f>
        <v>0</v>
      </c>
      <c r="M57" s="7">
        <f>+'4.1. Samtryggingard.'!P56+'4.1. Samtryggingard.'!Q56+'5.1. Séreignard.'!Y56</f>
        <v>0</v>
      </c>
      <c r="N57" s="7">
        <f>+'4.1. Samtryggingard.'!R56</f>
        <v>0</v>
      </c>
      <c r="O57" s="7">
        <f>+'4.1. Samtryggingard.'!S56+'5.1. Séreignard.'!Z56</f>
        <v>0</v>
      </c>
      <c r="P57" s="7">
        <f>+'4.1. Samtryggingard.'!T56+'5.1. Séreignard.'!AA56</f>
        <v>0</v>
      </c>
      <c r="Q57" s="7">
        <f>+'4.1. Samtryggingard.'!U56+'5.1. Séreignard.'!AB56</f>
        <v>0</v>
      </c>
      <c r="R57" s="135">
        <f>+'4.1. Samtryggingard.'!V56</f>
        <v>0</v>
      </c>
      <c r="S57" s="7">
        <f>+'4.1. Samtryggingard.'!W56</f>
        <v>0</v>
      </c>
      <c r="T57" s="7">
        <f>+'4.1. Samtryggingard.'!X56+'5.1. Séreignard.'!AC56+'5.1. Séreignard.'!AD56</f>
        <v>0</v>
      </c>
      <c r="U57" s="7">
        <f>+'4.1. Samtryggingard.'!Y56</f>
        <v>0</v>
      </c>
      <c r="V57" s="7">
        <f>+'4.1. Samtryggingard.'!Z56+'4.1. Samtryggingard.'!AA56+'5.1. Séreignard.'!AE56+'5.1. Séreignard.'!AF56+'5.1. Séreignard.'!AG56</f>
        <v>0</v>
      </c>
      <c r="W57" s="135">
        <f>+'4.1. Samtryggingard.'!AB56+'5.1. Séreignard.'!AH56</f>
        <v>0</v>
      </c>
      <c r="X57" s="7">
        <f>+'4.1. Samtryggingard.'!AC56</f>
        <v>0</v>
      </c>
      <c r="Y57" s="7">
        <f>+'4.1. Samtryggingard.'!AD56+'5.1. Séreignard.'!AI56+'5.1. Séreignard.'!AJ56+'5.1. Séreignard.'!AK56+'5.1. Séreignard.'!AL56</f>
        <v>0</v>
      </c>
      <c r="Z57" s="7">
        <f>+'4.1. Samtryggingard.'!AE56</f>
        <v>0</v>
      </c>
      <c r="AA57" s="7">
        <f>+'4.1. Samtryggingard.'!AF56</f>
        <v>0</v>
      </c>
      <c r="AB57" s="7">
        <f>+'4.1. Samtryggingard.'!AG56</f>
        <v>0</v>
      </c>
      <c r="AC57" s="7">
        <f>+'4.1. Samtryggingard.'!AH56</f>
        <v>0</v>
      </c>
      <c r="AD57" s="7">
        <f>+'4.1. Samtryggingard.'!AI56+'4.1. Samtryggingard.'!AJ56</f>
        <v>0</v>
      </c>
      <c r="AE57" s="7">
        <f>+'4.1. Samtryggingard.'!AK56+'5.1. Séreignard.'!AM56</f>
        <v>0</v>
      </c>
      <c r="AF57" s="7">
        <f>+'4.1. Samtryggingard.'!AL56</f>
        <v>0</v>
      </c>
      <c r="AG57" s="7">
        <f>+'4.1. Samtryggingard.'!AM56</f>
        <v>0</v>
      </c>
      <c r="AH57" s="7">
        <f>+'4.1. Samtryggingard.'!AN56+'5.1. Séreignard.'!AN56</f>
        <v>0</v>
      </c>
      <c r="AI57" s="7">
        <f>+'4.1. Samtryggingard.'!AO56</f>
        <v>0</v>
      </c>
      <c r="AJ57" s="7">
        <f>+'4.1. Samtryggingard.'!AP56</f>
        <v>0</v>
      </c>
      <c r="AK57" s="7">
        <f>+'4.1. Samtryggingard.'!AQ56</f>
        <v>0</v>
      </c>
      <c r="AL57" s="7">
        <f>+'4.1. Samtryggingard.'!AR56</f>
        <v>0</v>
      </c>
      <c r="AM57" s="7">
        <f>+'4.1. Samtryggingard.'!AS56</f>
        <v>0</v>
      </c>
      <c r="AN57" s="7">
        <f>+'4.1. Samtryggingard.'!AT56</f>
        <v>0</v>
      </c>
      <c r="AO57" s="7">
        <f>+'4.1. Samtryggingard.'!AU56</f>
        <v>0</v>
      </c>
      <c r="AP57" s="7">
        <f>+'4.1. Samtryggingard.'!AV56</f>
        <v>0</v>
      </c>
      <c r="AQ57" s="7">
        <f>+'4.1. Samtryggingard.'!AW56</f>
        <v>2528</v>
      </c>
      <c r="AR57" s="7">
        <f>+'4.1. Samtryggingard.'!AX56</f>
        <v>0</v>
      </c>
      <c r="AS57" s="7">
        <f>+'4.1. Samtryggingard.'!AY56</f>
        <v>0</v>
      </c>
      <c r="AT57" s="7">
        <f>+'4.1. Samtryggingard.'!AZ56</f>
        <v>0</v>
      </c>
      <c r="AU57" s="7">
        <f>+'4.1. Samtryggingard.'!BA56</f>
        <v>0</v>
      </c>
      <c r="AV57" s="7">
        <f>+'4.1. Samtryggingard.'!BB56</f>
        <v>0</v>
      </c>
      <c r="AW57" s="7">
        <f>+'4.1. Samtryggingard.'!BC56</f>
        <v>0</v>
      </c>
      <c r="AX57" s="18"/>
      <c r="AY57" s="18">
        <f>SUM(B57:AW57)</f>
        <v>2528</v>
      </c>
      <c r="AZ57" s="7"/>
    </row>
    <row r="58" spans="1:51" ht="12.75">
      <c r="A58" s="17" t="s">
        <v>303</v>
      </c>
      <c r="B58" s="7">
        <f>+'4.1. Samtryggingard.'!B57+'4.1. Samtryggingard.'!C57+'5.1. Séreignard.'!B57+'5.1. Séreignard.'!C57+'5.1. Séreignard.'!D57</f>
        <v>0</v>
      </c>
      <c r="C58" s="8">
        <f>+'4.1. Samtryggingard.'!D57+'5.1. Séreignard.'!E57</f>
        <v>0</v>
      </c>
      <c r="D58" s="8">
        <f>+'4.1. Samtryggingard.'!E57+'5.1. Séreignard.'!F57+'5.1. Séreignard.'!G57</f>
        <v>0</v>
      </c>
      <c r="E58" s="7">
        <f>+'4.1. Samtryggingard.'!F57+'5.1. Séreignard.'!H57+'5.1. Séreignard.'!I57+'5.1. Séreignard.'!J57</f>
        <v>0</v>
      </c>
      <c r="F58" s="7">
        <f>+'4.1. Samtryggingard.'!G57+'4.1. Samtryggingard.'!H57+'5.1. Séreignard.'!K57+'5.1. Séreignard.'!L57</f>
        <v>0</v>
      </c>
      <c r="G58" s="18">
        <f>+'4.1. Samtryggingard.'!I57+'5.1. Séreignard.'!M57+'5.1. Séreignard.'!N57</f>
        <v>0</v>
      </c>
      <c r="H58" s="7">
        <f>+'4.1. Samtryggingard.'!J57+'5.1. Séreignard.'!O57+'5.1. Séreignard.'!P57+'5.1. Séreignard.'!Q57</f>
        <v>0</v>
      </c>
      <c r="I58" s="7">
        <f>+'4.1. Samtryggingard.'!K57+'5.1. Séreignard.'!R57</f>
        <v>0</v>
      </c>
      <c r="J58" s="7">
        <f>+'4.1. Samtryggingard.'!L57+'5.1. Séreignard.'!S57+'5.1. Séreignard.'!T57+'5.1. Séreignard.'!U57+'5.1. Séreignard.'!V57</f>
        <v>0</v>
      </c>
      <c r="K58" s="7">
        <f>+'4.1. Samtryggingard.'!M57+'5.1. Séreignard.'!W57+'5.1. Séreignard.'!X57</f>
        <v>0</v>
      </c>
      <c r="L58" s="7">
        <f>+'4.1. Samtryggingard.'!N57+'4.1. Samtryggingard.'!O57</f>
        <v>0</v>
      </c>
      <c r="M58" s="7">
        <f>+'4.1. Samtryggingard.'!P57+'4.1. Samtryggingard.'!Q57+'5.1. Séreignard.'!Y57</f>
        <v>0</v>
      </c>
      <c r="N58" s="7">
        <f>+'4.1. Samtryggingard.'!R57</f>
        <v>0</v>
      </c>
      <c r="O58" s="7">
        <f>+'4.1. Samtryggingard.'!S57+'5.1. Séreignard.'!Z57</f>
        <v>0</v>
      </c>
      <c r="P58" s="7">
        <f>+'4.1. Samtryggingard.'!T57+'5.1. Séreignard.'!AA57</f>
        <v>0</v>
      </c>
      <c r="Q58" s="7">
        <f>+'4.1. Samtryggingard.'!U57+'5.1. Séreignard.'!AB57</f>
        <v>0</v>
      </c>
      <c r="R58" s="135">
        <f>+'4.1. Samtryggingard.'!V57</f>
        <v>0</v>
      </c>
      <c r="S58" s="7">
        <f>+'4.1. Samtryggingard.'!W57</f>
        <v>0</v>
      </c>
      <c r="T58" s="7">
        <f>+'4.1. Samtryggingard.'!X57+'5.1. Séreignard.'!AC57+'5.1. Séreignard.'!AD57</f>
        <v>0</v>
      </c>
      <c r="U58" s="7">
        <f>+'4.1. Samtryggingard.'!Y57</f>
        <v>0</v>
      </c>
      <c r="V58" s="7">
        <f>+'4.1. Samtryggingard.'!Z57+'4.1. Samtryggingard.'!AA57+'5.1. Séreignard.'!AE57+'5.1. Séreignard.'!AF57+'5.1. Séreignard.'!AG57</f>
        <v>0</v>
      </c>
      <c r="W58" s="135">
        <f>+'4.1. Samtryggingard.'!AB57+'5.1. Séreignard.'!AH57</f>
        <v>0</v>
      </c>
      <c r="X58" s="7">
        <f>+'4.1. Samtryggingard.'!AC57</f>
        <v>0</v>
      </c>
      <c r="Y58" s="7">
        <f>+'4.1. Samtryggingard.'!AD57+'5.1. Séreignard.'!AI57+'5.1. Séreignard.'!AJ57+'5.1. Séreignard.'!AK57+'5.1. Séreignard.'!AL57</f>
        <v>0</v>
      </c>
      <c r="Z58" s="7">
        <f>+'4.1. Samtryggingard.'!AE57</f>
        <v>0</v>
      </c>
      <c r="AA58" s="7">
        <f>+'4.1. Samtryggingard.'!AF57</f>
        <v>0</v>
      </c>
      <c r="AB58" s="7">
        <f>+'4.1. Samtryggingard.'!AG57</f>
        <v>0</v>
      </c>
      <c r="AC58" s="7">
        <f>+'4.1. Samtryggingard.'!AH57</f>
        <v>0</v>
      </c>
      <c r="AD58" s="7">
        <f>+'4.1. Samtryggingard.'!AI57+'4.1. Samtryggingard.'!AJ57</f>
        <v>0</v>
      </c>
      <c r="AE58" s="7">
        <f>+'4.1. Samtryggingard.'!AK57+'5.1. Séreignard.'!AM57</f>
        <v>0</v>
      </c>
      <c r="AF58" s="7">
        <f>+'4.1. Samtryggingard.'!AL57</f>
        <v>0</v>
      </c>
      <c r="AG58" s="7">
        <f>+'4.1. Samtryggingard.'!AM57</f>
        <v>0</v>
      </c>
      <c r="AH58" s="7">
        <f>+'4.1. Samtryggingard.'!AN57+'5.1. Séreignard.'!AN57</f>
        <v>0</v>
      </c>
      <c r="AI58" s="7">
        <f>+'4.1. Samtryggingard.'!AO57</f>
        <v>0</v>
      </c>
      <c r="AJ58" s="7">
        <f>+'4.1. Samtryggingard.'!AP57</f>
        <v>0</v>
      </c>
      <c r="AK58" s="7">
        <f>+'4.1. Samtryggingard.'!AQ57</f>
        <v>0</v>
      </c>
      <c r="AL58" s="7">
        <f>+'4.1. Samtryggingard.'!AR57</f>
        <v>0</v>
      </c>
      <c r="AM58" s="7">
        <f>+'4.1. Samtryggingard.'!AS57</f>
        <v>0</v>
      </c>
      <c r="AN58" s="7">
        <f>+'4.1. Samtryggingard.'!AT57</f>
        <v>0</v>
      </c>
      <c r="AO58" s="7">
        <f>+'4.1. Samtryggingard.'!AU57</f>
        <v>0</v>
      </c>
      <c r="AP58" s="7">
        <f>+'4.1. Samtryggingard.'!AV57</f>
        <v>0</v>
      </c>
      <c r="AQ58" s="7">
        <f>+'4.1. Samtryggingard.'!AW57</f>
        <v>0</v>
      </c>
      <c r="AR58" s="7">
        <f>+'4.1. Samtryggingard.'!AX57</f>
        <v>0</v>
      </c>
      <c r="AS58" s="7">
        <f>+'4.1. Samtryggingard.'!AY57</f>
        <v>0</v>
      </c>
      <c r="AT58" s="7">
        <f>+'4.1. Samtryggingard.'!AZ57</f>
        <v>0</v>
      </c>
      <c r="AU58" s="7">
        <f>+'4.1. Samtryggingard.'!BA57</f>
        <v>0</v>
      </c>
      <c r="AV58" s="7">
        <f>+'4.1. Samtryggingard.'!BB57</f>
        <v>0</v>
      </c>
      <c r="AW58" s="7">
        <f>+'4.1. Samtryggingard.'!BC57</f>
        <v>0</v>
      </c>
      <c r="AX58" s="18"/>
      <c r="AY58" s="18">
        <f>SUM(B58:AW58)</f>
        <v>0</v>
      </c>
    </row>
    <row r="59" spans="1:52" ht="8.25" customHeight="1">
      <c r="A59" s="15"/>
      <c r="C59" s="11"/>
      <c r="D59" s="8"/>
      <c r="E59" s="11"/>
      <c r="F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135"/>
      <c r="S59" s="7"/>
      <c r="T59" s="7"/>
      <c r="U59" s="7"/>
      <c r="V59" s="7"/>
      <c r="W59" s="13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8"/>
      <c r="AZ59" s="7"/>
    </row>
    <row r="60" spans="1:52" ht="12.75">
      <c r="A60" s="15" t="s">
        <v>304</v>
      </c>
      <c r="B60" s="7">
        <f>+'4.1. Samtryggingard.'!B59+'4.1. Samtryggingard.'!C59+'5.1. Séreignard.'!B59+'5.1. Séreignard.'!C59+'5.1. Séreignard.'!D59</f>
        <v>0</v>
      </c>
      <c r="C60" s="7">
        <f>+'4.1. Samtryggingard.'!D59+'5.1. Séreignard.'!E59</f>
        <v>0</v>
      </c>
      <c r="D60" s="7">
        <f>+'4.1. Samtryggingard.'!E59+'5.1. Séreignard.'!F59+'5.1. Séreignard.'!G59</f>
        <v>0</v>
      </c>
      <c r="E60" s="7">
        <f>+'4.1. Samtryggingard.'!F59+'5.1. Séreignard.'!H59+'5.1. Séreignard.'!I59+'5.1. Séreignard.'!J59</f>
        <v>0</v>
      </c>
      <c r="F60" s="7">
        <f>+'4.1. Samtryggingard.'!G59+'4.1. Samtryggingard.'!H59+'5.1. Séreignard.'!K59+'5.1. Séreignard.'!L59</f>
        <v>0</v>
      </c>
      <c r="G60" s="18">
        <f>+'4.1. Samtryggingard.'!I59+'5.1. Séreignard.'!M59+'5.1. Séreignard.'!N59</f>
        <v>0</v>
      </c>
      <c r="H60" s="7">
        <f>+'4.1. Samtryggingard.'!J59+'5.1. Séreignard.'!O59+'5.1. Séreignard.'!P59+'5.1. Séreignard.'!Q59</f>
        <v>0</v>
      </c>
      <c r="I60" s="7">
        <f>+'4.1. Samtryggingard.'!K59+'5.1. Séreignard.'!R59</f>
        <v>0</v>
      </c>
      <c r="J60" s="7">
        <f>+'4.1. Samtryggingard.'!L59+'5.1. Séreignard.'!S59+'5.1. Séreignard.'!T59+'5.1. Séreignard.'!U59+'5.1. Séreignard.'!V59</f>
        <v>0</v>
      </c>
      <c r="K60" s="7">
        <f>+'4.1. Samtryggingard.'!M59+'5.1. Séreignard.'!W59+'5.1. Séreignard.'!X59</f>
        <v>0</v>
      </c>
      <c r="L60" s="7">
        <f>+'4.1. Samtryggingard.'!N59+'4.1. Samtryggingard.'!O59</f>
        <v>0</v>
      </c>
      <c r="M60" s="7">
        <f>+'4.1. Samtryggingard.'!P59+'4.1. Samtryggingard.'!Q59+'5.1. Séreignard.'!Y59</f>
        <v>0</v>
      </c>
      <c r="N60" s="7">
        <f>+'4.1. Samtryggingard.'!R59</f>
        <v>0</v>
      </c>
      <c r="O60" s="7">
        <f>+'4.1. Samtryggingard.'!S59+'5.1. Séreignard.'!Z59</f>
        <v>0</v>
      </c>
      <c r="P60" s="7">
        <f>+'4.1. Samtryggingard.'!T59+'5.1. Séreignard.'!AA59</f>
        <v>0</v>
      </c>
      <c r="Q60" s="7">
        <f>+'4.1. Samtryggingard.'!U59+'5.1. Séreignard.'!AB59</f>
        <v>0</v>
      </c>
      <c r="R60" s="135">
        <f>+'4.1. Samtryggingard.'!V59</f>
        <v>0</v>
      </c>
      <c r="S60" s="7">
        <f>+'4.1. Samtryggingard.'!W59</f>
        <v>0</v>
      </c>
      <c r="T60" s="7">
        <f>+'4.1. Samtryggingard.'!X59+'5.1. Séreignard.'!AC59+'5.1. Séreignard.'!AD59</f>
        <v>0</v>
      </c>
      <c r="U60" s="7">
        <f>+'4.1. Samtryggingard.'!Y59</f>
        <v>0</v>
      </c>
      <c r="V60" s="7">
        <f>+'4.1. Samtryggingard.'!Z59+'4.1. Samtryggingard.'!AA59+'5.1. Séreignard.'!AE59+'5.1. Séreignard.'!AF59+'5.1. Séreignard.'!AG59</f>
        <v>0</v>
      </c>
      <c r="W60" s="135">
        <f>+'4.1. Samtryggingard.'!AB59+'5.1. Séreignard.'!AH59</f>
        <v>0</v>
      </c>
      <c r="X60" s="7">
        <f>+'4.1. Samtryggingard.'!AC59</f>
        <v>0</v>
      </c>
      <c r="Y60" s="7">
        <f>+'4.1. Samtryggingard.'!AD59+'5.1. Séreignard.'!AI59+'5.1. Séreignard.'!AJ59+'5.1. Séreignard.'!AK59+'5.1. Séreignard.'!AL59</f>
        <v>0</v>
      </c>
      <c r="Z60" s="7">
        <f>+'4.1. Samtryggingard.'!AE59</f>
        <v>0</v>
      </c>
      <c r="AA60" s="7">
        <f>+'4.1. Samtryggingard.'!AF59</f>
        <v>0</v>
      </c>
      <c r="AB60" s="7">
        <f>+'4.1. Samtryggingard.'!AG59</f>
        <v>0</v>
      </c>
      <c r="AC60" s="7">
        <f>+'4.1. Samtryggingard.'!AH59</f>
        <v>0</v>
      </c>
      <c r="AD60" s="7">
        <f>+'4.1. Samtryggingard.'!AI59+'4.1. Samtryggingard.'!AJ59</f>
        <v>0</v>
      </c>
      <c r="AE60" s="7">
        <f>+'4.1. Samtryggingard.'!AK59+'5.1. Séreignard.'!AM59</f>
        <v>0</v>
      </c>
      <c r="AF60" s="7">
        <f>+'4.1. Samtryggingard.'!AL59</f>
        <v>0</v>
      </c>
      <c r="AG60" s="7">
        <f>+'4.1. Samtryggingard.'!AM59</f>
        <v>0</v>
      </c>
      <c r="AH60" s="7">
        <f>+'4.1. Samtryggingard.'!AN59+'5.1. Séreignard.'!AN59</f>
        <v>0</v>
      </c>
      <c r="AI60" s="7">
        <f>+'4.1. Samtryggingard.'!AO59</f>
        <v>0</v>
      </c>
      <c r="AJ60" s="7">
        <f>+'4.1. Samtryggingard.'!AP59</f>
        <v>0</v>
      </c>
      <c r="AK60" s="7">
        <f>+'4.1. Samtryggingard.'!AQ59</f>
        <v>0</v>
      </c>
      <c r="AL60" s="7">
        <f>+'4.1. Samtryggingard.'!AR59</f>
        <v>0</v>
      </c>
      <c r="AM60" s="7">
        <f>+'4.1. Samtryggingard.'!AS59</f>
        <v>0</v>
      </c>
      <c r="AN60" s="7">
        <f>+'4.1. Samtryggingard.'!AT59</f>
        <v>0</v>
      </c>
      <c r="AO60" s="7">
        <f>+'4.1. Samtryggingard.'!AU59</f>
        <v>0</v>
      </c>
      <c r="AP60" s="7">
        <f>+'4.1. Samtryggingard.'!AV59</f>
        <v>0</v>
      </c>
      <c r="AQ60" s="7">
        <f>+'4.1. Samtryggingard.'!AW59</f>
        <v>0</v>
      </c>
      <c r="AR60" s="7">
        <f>+'4.1. Samtryggingard.'!AX59</f>
        <v>0</v>
      </c>
      <c r="AS60" s="7">
        <f>+'4.1. Samtryggingard.'!AY59</f>
        <v>0</v>
      </c>
      <c r="AT60" s="7">
        <f>+'4.1. Samtryggingard.'!AZ59</f>
        <v>0</v>
      </c>
      <c r="AU60" s="7">
        <f>+'4.1. Samtryggingard.'!BA59</f>
        <v>0</v>
      </c>
      <c r="AV60" s="7">
        <f>+'4.1. Samtryggingard.'!BB59</f>
        <v>0</v>
      </c>
      <c r="AW60" s="7">
        <f>+'4.1. Samtryggingard.'!BC59</f>
        <v>0</v>
      </c>
      <c r="AX60" s="18"/>
      <c r="AY60" s="18">
        <f>SUM(B60:AW60)</f>
        <v>0</v>
      </c>
      <c r="AZ60" s="7"/>
    </row>
    <row r="61" spans="1:52" ht="8.25" customHeight="1">
      <c r="A61" s="15"/>
      <c r="C61" s="11"/>
      <c r="D61" s="8"/>
      <c r="E61" s="11"/>
      <c r="F61" s="11"/>
      <c r="K61" s="7"/>
      <c r="M61" s="11"/>
      <c r="N61" s="19"/>
      <c r="Q61" s="11"/>
      <c r="R61" s="135"/>
      <c r="S61" s="11"/>
      <c r="T61" s="11"/>
      <c r="U61" s="11"/>
      <c r="W61" s="135"/>
      <c r="X61" s="11"/>
      <c r="Z61" s="11"/>
      <c r="AB61" s="11"/>
      <c r="AC61" s="19"/>
      <c r="AF61" s="11"/>
      <c r="AG61" s="11"/>
      <c r="AI61" s="50"/>
      <c r="AL61" s="11"/>
      <c r="AN61" s="11"/>
      <c r="AO61" s="11"/>
      <c r="AP61" s="11"/>
      <c r="AQ61" s="11"/>
      <c r="AS61" s="11"/>
      <c r="AT61" s="11"/>
      <c r="AU61" s="11"/>
      <c r="AW61" s="11"/>
      <c r="AX61" s="18"/>
      <c r="AZ61" s="57"/>
    </row>
    <row r="62" spans="1:52" ht="12.75">
      <c r="A62" s="15" t="s">
        <v>305</v>
      </c>
      <c r="B62" s="7">
        <f>+B54+B56+B60</f>
        <v>33878541.3</v>
      </c>
      <c r="C62" s="7">
        <f>+C54+C56+C60</f>
        <v>27044583</v>
      </c>
      <c r="D62" s="7">
        <f aca="true" t="shared" si="9" ref="D62:AW62">+D54+D56+D60</f>
        <v>13203666.016</v>
      </c>
      <c r="E62" s="7">
        <f t="shared" si="9"/>
        <v>12204605</v>
      </c>
      <c r="F62" s="7">
        <f t="shared" si="9"/>
        <v>7482247</v>
      </c>
      <c r="G62" s="7">
        <f t="shared" si="9"/>
        <v>6756379</v>
      </c>
      <c r="H62" s="7">
        <f>+H54+H56+H60</f>
        <v>6807103.199999999</v>
      </c>
      <c r="I62" s="7">
        <f t="shared" si="9"/>
        <v>5457765</v>
      </c>
      <c r="J62" s="7">
        <f t="shared" si="9"/>
        <v>6931956.51040016</v>
      </c>
      <c r="K62" s="7">
        <f t="shared" si="9"/>
        <v>4422694</v>
      </c>
      <c r="L62" s="7">
        <f t="shared" si="9"/>
        <v>3098054</v>
      </c>
      <c r="M62" s="7">
        <f t="shared" si="9"/>
        <v>3955286</v>
      </c>
      <c r="N62" s="7">
        <f>+N54+N56+N60</f>
        <v>3060491.8</v>
      </c>
      <c r="O62" s="7">
        <f t="shared" si="9"/>
        <v>2680132</v>
      </c>
      <c r="P62" s="7">
        <f t="shared" si="9"/>
        <v>2649814.7550000004</v>
      </c>
      <c r="Q62" s="7">
        <f t="shared" si="9"/>
        <v>2849155</v>
      </c>
      <c r="R62" s="7">
        <f>+R54+R56+R60</f>
        <v>2582334</v>
      </c>
      <c r="S62" s="7">
        <f t="shared" si="9"/>
        <v>1715930</v>
      </c>
      <c r="T62" s="7">
        <f t="shared" si="9"/>
        <v>2139719</v>
      </c>
      <c r="U62" s="7">
        <f t="shared" si="9"/>
        <v>1197464</v>
      </c>
      <c r="V62" s="7">
        <f>+V54+V56+V60</f>
        <v>3258704.762</v>
      </c>
      <c r="W62" s="7">
        <f>+W54+W56+W60</f>
        <v>1711758</v>
      </c>
      <c r="X62" s="7">
        <f t="shared" si="9"/>
        <v>914766.0530000001</v>
      </c>
      <c r="Y62" s="7">
        <f>+Y54+Y56+Y60</f>
        <v>2606285.177</v>
      </c>
      <c r="Z62" s="7">
        <f t="shared" si="9"/>
        <v>1166461</v>
      </c>
      <c r="AA62" s="7">
        <f t="shared" si="9"/>
        <v>1568591.1390000002</v>
      </c>
      <c r="AB62" s="7">
        <f t="shared" si="9"/>
        <v>916525</v>
      </c>
      <c r="AC62" s="7">
        <f t="shared" si="9"/>
        <v>848118</v>
      </c>
      <c r="AD62" s="7">
        <f t="shared" si="9"/>
        <v>391233</v>
      </c>
      <c r="AE62" s="7">
        <f t="shared" si="9"/>
        <v>293719</v>
      </c>
      <c r="AF62" s="7">
        <f t="shared" si="9"/>
        <v>263209</v>
      </c>
      <c r="AG62" s="7">
        <f t="shared" si="9"/>
        <v>167815</v>
      </c>
      <c r="AH62" s="7">
        <f>+AH54+AH56+AH60</f>
        <v>256882</v>
      </c>
      <c r="AI62" s="7">
        <f t="shared" si="9"/>
        <v>146324</v>
      </c>
      <c r="AJ62" s="7">
        <f t="shared" si="9"/>
        <v>149989.37</v>
      </c>
      <c r="AK62" s="7">
        <f t="shared" si="9"/>
        <v>111901</v>
      </c>
      <c r="AL62" s="7">
        <f t="shared" si="9"/>
        <v>123251</v>
      </c>
      <c r="AM62" s="7">
        <f t="shared" si="9"/>
        <v>61248</v>
      </c>
      <c r="AN62" s="7">
        <f t="shared" si="9"/>
        <v>37229.37</v>
      </c>
      <c r="AO62" s="7">
        <f t="shared" si="9"/>
        <v>18882.005999999998</v>
      </c>
      <c r="AP62" s="7">
        <f t="shared" si="9"/>
        <v>57610</v>
      </c>
      <c r="AQ62" s="7">
        <f t="shared" si="9"/>
        <v>18650</v>
      </c>
      <c r="AR62" s="7">
        <f t="shared" si="9"/>
        <v>6068</v>
      </c>
      <c r="AS62" s="7">
        <f t="shared" si="9"/>
        <v>33105.49</v>
      </c>
      <c r="AT62" s="7">
        <f t="shared" si="9"/>
        <v>14854</v>
      </c>
      <c r="AU62" s="7">
        <f t="shared" si="9"/>
        <v>-9234</v>
      </c>
      <c r="AV62" s="7">
        <f>+AV54+AV56+AV60</f>
        <v>-376</v>
      </c>
      <c r="AW62" s="7">
        <f t="shared" si="9"/>
        <v>-30291</v>
      </c>
      <c r="AX62" s="7"/>
      <c r="AY62" s="18">
        <f>SUM(B62:AW62)</f>
        <v>165221198.94840017</v>
      </c>
      <c r="AZ62" s="7"/>
    </row>
    <row r="63" spans="1:52" ht="12.75">
      <c r="A63" s="56"/>
      <c r="C63" s="11"/>
      <c r="D63" s="8"/>
      <c r="E63" s="11"/>
      <c r="F63" s="11"/>
      <c r="K63" s="7"/>
      <c r="M63" s="11"/>
      <c r="N63" s="19"/>
      <c r="Q63" s="11"/>
      <c r="R63" s="135"/>
      <c r="S63" s="11"/>
      <c r="T63" s="11"/>
      <c r="U63" s="11"/>
      <c r="W63" s="135"/>
      <c r="X63" s="11"/>
      <c r="Z63" s="11"/>
      <c r="AB63" s="11"/>
      <c r="AC63" s="19"/>
      <c r="AF63" s="11"/>
      <c r="AG63" s="11"/>
      <c r="AI63" s="50"/>
      <c r="AL63" s="11"/>
      <c r="AN63" s="11"/>
      <c r="AO63" s="11"/>
      <c r="AP63" s="11"/>
      <c r="AQ63" s="11"/>
      <c r="AS63" s="11"/>
      <c r="AT63" s="11"/>
      <c r="AU63" s="11"/>
      <c r="AW63" s="11"/>
      <c r="AX63" s="18"/>
      <c r="AZ63" s="7"/>
    </row>
    <row r="64" spans="1:52" ht="12.75">
      <c r="A64" s="15" t="s">
        <v>306</v>
      </c>
      <c r="B64" s="7">
        <f>+'4.1. Samtryggingard.'!B63+'4.1. Samtryggingard.'!C63+'5.1. Séreignard.'!B63+'5.1. Séreignard.'!C63+'5.1. Séreignard.'!D63</f>
        <v>145982582.4</v>
      </c>
      <c r="C64" s="8">
        <f>+'4.1. Samtryggingard.'!D63+'5.1. Séreignard.'!E63</f>
        <v>123657259</v>
      </c>
      <c r="D64" s="8">
        <f>+'4.1. Samtryggingard.'!E63+'5.1. Séreignard.'!F63+'5.1. Séreignard.'!G63</f>
        <v>64122732.673</v>
      </c>
      <c r="E64" s="7">
        <f>+'4.1. Samtryggingard.'!F63+'5.1. Séreignard.'!H63+'5.1. Séreignard.'!I63+'5.1. Séreignard.'!J63</f>
        <v>56246990</v>
      </c>
      <c r="F64" s="7">
        <f>+'4.1. Samtryggingard.'!G63+'4.1. Samtryggingard.'!H63+'5.1. Séreignard.'!K63+'5.1. Séreignard.'!L63</f>
        <v>52296138</v>
      </c>
      <c r="G64" s="7">
        <f>+'4.1. Samtryggingard.'!I63+'5.1. Séreignard.'!M63+'5.1. Séreignard.'!N63</f>
        <v>32411283</v>
      </c>
      <c r="H64" s="7">
        <f>+'4.1. Samtryggingard.'!J63+'5.1. Séreignard.'!O63+'5.1. Séreignard.'!P63+'5.1. Séreignard.'!Q63</f>
        <v>28851012.799999997</v>
      </c>
      <c r="I64" s="7">
        <f>+'4.1. Samtryggingard.'!K63+'5.1. Séreignard.'!R63</f>
        <v>28332239</v>
      </c>
      <c r="J64" s="7">
        <f>+'4.1. Samtryggingard.'!L63+'5.1. Séreignard.'!S63+'5.1. Séreignard.'!T63+'5.1. Séreignard.'!U63+'5.1. Séreignard.'!V63</f>
        <v>26174734.9345</v>
      </c>
      <c r="K64" s="18">
        <f>+'4.1. Samtryggingard.'!M63+'5.1. Séreignard.'!W63+'5.1. Séreignard.'!X63</f>
        <v>22826730</v>
      </c>
      <c r="L64" s="7">
        <f>+'4.1. Samtryggingard.'!N63+'4.1. Samtryggingard.'!O63</f>
        <v>22469757</v>
      </c>
      <c r="M64" s="7">
        <f>+'4.1. Samtryggingard.'!P63+'4.1. Samtryggingard.'!Q63+'5.1. Séreignard.'!Y63</f>
        <v>20326818</v>
      </c>
      <c r="N64" s="7">
        <f>+'4.1. Samtryggingard.'!R63</f>
        <v>15564174</v>
      </c>
      <c r="O64" s="7">
        <f>+'4.1. Samtryggingard.'!S63+'5.1. Séreignard.'!Z63</f>
        <v>15675788</v>
      </c>
      <c r="P64" s="7">
        <f>+'4.1. Samtryggingard.'!T63+'5.1. Séreignard.'!AA63</f>
        <v>15200632.531</v>
      </c>
      <c r="Q64" s="7">
        <f>+'4.1. Samtryggingard.'!U63+'5.1. Séreignard.'!AB63</f>
        <v>14746695</v>
      </c>
      <c r="R64" s="135">
        <f>+'4.1. Samtryggingard.'!V63</f>
        <v>12937557</v>
      </c>
      <c r="S64" s="7">
        <f>+'4.1. Samtryggingard.'!W63</f>
        <v>13717389</v>
      </c>
      <c r="T64" s="7">
        <f>+'4.1. Samtryggingard.'!X63+'5.1. Séreignard.'!AC63+'5.1. Séreignard.'!AD63</f>
        <v>12922346</v>
      </c>
      <c r="U64" s="7">
        <f>+'4.1. Samtryggingard.'!Y63</f>
        <v>12696730</v>
      </c>
      <c r="V64" s="7">
        <f>+'4.1. Samtryggingard.'!Z63+'4.1. Samtryggingard.'!AA63+'5.1. Séreignard.'!AE63+'5.1. Séreignard.'!AF63+'5.1. Séreignard.'!AG63</f>
        <v>9123479.742</v>
      </c>
      <c r="W64" s="135">
        <f>+'4.1. Samtryggingard.'!AB63+'5.1. Séreignard.'!AH63</f>
        <v>9583301</v>
      </c>
      <c r="X64" s="7">
        <f>+'4.1. Samtryggingard.'!AC63</f>
        <v>10044470.85</v>
      </c>
      <c r="Y64" s="7">
        <f>+'4.1. Samtryggingard.'!AD63+'5.1. Séreignard.'!AI63+'5.1. Séreignard.'!AJ63+'5.1. Séreignard.'!AK63+'5.1. Séreignard.'!AL63</f>
        <v>7745837.499</v>
      </c>
      <c r="Z64" s="7">
        <f>+'4.1. Samtryggingard.'!AE63</f>
        <v>9026776</v>
      </c>
      <c r="AA64" s="7">
        <f>+'4.1. Samtryggingard.'!AF63</f>
        <v>7502572.157</v>
      </c>
      <c r="AB64" s="7">
        <f>+'4.1. Samtryggingard.'!AG63</f>
        <v>6409499</v>
      </c>
      <c r="AC64" s="7">
        <f>+'4.1. Samtryggingard.'!AH63</f>
        <v>3247975</v>
      </c>
      <c r="AD64" s="7">
        <f>+'4.1. Samtryggingard.'!AI63+'4.1. Samtryggingard.'!AJ63</f>
        <v>2728172</v>
      </c>
      <c r="AE64" s="7">
        <f>+'4.1. Samtryggingard.'!AK63+'5.1. Séreignard.'!AM63</f>
        <v>2679858</v>
      </c>
      <c r="AF64" s="7">
        <f>+'4.1. Samtryggingard.'!AL63</f>
        <v>2279171</v>
      </c>
      <c r="AG64" s="7">
        <f>+'4.1. Samtryggingard.'!AM63</f>
        <v>2250869</v>
      </c>
      <c r="AH64" s="7">
        <f>+'4.1. Samtryggingard.'!AN63+'5.1. Séreignard.'!AN63</f>
        <v>1585889</v>
      </c>
      <c r="AI64" s="7">
        <f>+'4.1. Samtryggingard.'!AO63</f>
        <v>1601449</v>
      </c>
      <c r="AJ64" s="7">
        <f>+'4.1. Samtryggingard.'!AP63</f>
        <v>1475470.407</v>
      </c>
      <c r="AK64" s="7">
        <f>+'4.1. Samtryggingard.'!AQ63</f>
        <v>1368427</v>
      </c>
      <c r="AL64" s="7">
        <f>+'4.1. Samtryggingard.'!AR63</f>
        <v>1182750</v>
      </c>
      <c r="AM64" s="7">
        <f>+'4.1. Samtryggingard.'!AS63</f>
        <v>885206</v>
      </c>
      <c r="AN64" s="7">
        <f>+'4.1. Samtryggingard.'!AT63</f>
        <v>665253</v>
      </c>
      <c r="AO64" s="7">
        <f>+'4.1. Samtryggingard.'!AU63</f>
        <v>595105.652</v>
      </c>
      <c r="AP64" s="7">
        <f>+'4.1. Samtryggingard.'!AV63</f>
        <v>550918</v>
      </c>
      <c r="AQ64" s="7">
        <f>+'4.1. Samtryggingard.'!AW63</f>
        <v>486958</v>
      </c>
      <c r="AR64" s="7">
        <f>+'4.1. Samtryggingard.'!AX63</f>
        <v>452728</v>
      </c>
      <c r="AS64" s="7">
        <f>+'4.1. Samtryggingard.'!AY63</f>
        <v>366418.1</v>
      </c>
      <c r="AT64" s="7">
        <f>+'4.1. Samtryggingard.'!AZ63</f>
        <v>195390</v>
      </c>
      <c r="AU64" s="7">
        <f>+'4.1. Samtryggingard.'!BA63</f>
        <v>97769.565</v>
      </c>
      <c r="AV64" s="7">
        <f>+'4.1. Samtryggingard.'!BB63</f>
        <v>8343</v>
      </c>
      <c r="AW64" s="7">
        <f>+'4.1. Samtryggingard.'!BC63</f>
        <v>13904</v>
      </c>
      <c r="AX64" s="18"/>
      <c r="AY64" s="18">
        <f>SUM(B64:AW64)</f>
        <v>821313548.3104999</v>
      </c>
      <c r="AZ64" s="7"/>
    </row>
    <row r="65" spans="1:50" ht="4.5" customHeight="1">
      <c r="A65" s="15"/>
      <c r="C65" s="11"/>
      <c r="D65" s="11"/>
      <c r="E65" s="11"/>
      <c r="F65" s="11"/>
      <c r="M65" s="11"/>
      <c r="N65" s="19"/>
      <c r="Q65" s="11"/>
      <c r="R65" s="135"/>
      <c r="S65" s="11"/>
      <c r="T65" s="11"/>
      <c r="U65" s="11"/>
      <c r="W65" s="135"/>
      <c r="X65" s="11"/>
      <c r="Z65" s="11"/>
      <c r="AB65" s="11"/>
      <c r="AC65" s="19"/>
      <c r="AF65" s="11"/>
      <c r="AG65" s="11"/>
      <c r="AI65" s="50"/>
      <c r="AL65" s="11"/>
      <c r="AN65" s="11"/>
      <c r="AO65" s="11"/>
      <c r="AP65" s="11"/>
      <c r="AQ65" s="11"/>
      <c r="AS65" s="11"/>
      <c r="AT65" s="11"/>
      <c r="AU65" s="11"/>
      <c r="AW65" s="11"/>
      <c r="AX65" s="18"/>
    </row>
    <row r="66" spans="1:50" ht="12.75">
      <c r="A66" s="15" t="s">
        <v>307</v>
      </c>
      <c r="C66" s="19"/>
      <c r="D66" s="11"/>
      <c r="E66" s="11"/>
      <c r="F66" s="11"/>
      <c r="G66" s="7"/>
      <c r="K66" s="7"/>
      <c r="M66" s="11"/>
      <c r="N66" s="19"/>
      <c r="Q66" s="11"/>
      <c r="R66" s="135"/>
      <c r="S66" s="11"/>
      <c r="T66" s="11"/>
      <c r="U66" s="11"/>
      <c r="W66" s="135">
        <v>0</v>
      </c>
      <c r="X66" s="11"/>
      <c r="Z66" s="11" t="s">
        <v>57</v>
      </c>
      <c r="AB66" s="11"/>
      <c r="AC66" s="19"/>
      <c r="AF66" s="11"/>
      <c r="AG66" s="11" t="s">
        <v>57</v>
      </c>
      <c r="AH66" s="18" t="s">
        <v>57</v>
      </c>
      <c r="AL66" s="11" t="s">
        <v>57</v>
      </c>
      <c r="AN66" s="11"/>
      <c r="AO66" s="11"/>
      <c r="AP66" s="11"/>
      <c r="AQ66" s="11"/>
      <c r="AR66" s="18" t="s">
        <v>57</v>
      </c>
      <c r="AS66" s="11"/>
      <c r="AT66" s="11"/>
      <c r="AU66" s="11"/>
      <c r="AW66" s="11"/>
      <c r="AX66" s="18"/>
    </row>
    <row r="67" spans="1:52" ht="12.75">
      <c r="A67" s="15" t="s">
        <v>308</v>
      </c>
      <c r="B67" s="7">
        <f>+B62+B64</f>
        <v>179861123.7</v>
      </c>
      <c r="C67" s="7">
        <f>+C62+C64</f>
        <v>150701842</v>
      </c>
      <c r="D67" s="7">
        <f aca="true" t="shared" si="10" ref="D67:AW67">+D62+D64</f>
        <v>77326398.689</v>
      </c>
      <c r="E67" s="7">
        <f t="shared" si="10"/>
        <v>68451595</v>
      </c>
      <c r="F67" s="7">
        <f t="shared" si="10"/>
        <v>59778385</v>
      </c>
      <c r="G67" s="7">
        <f t="shared" si="10"/>
        <v>39167662</v>
      </c>
      <c r="H67" s="7">
        <f>+H62+H64</f>
        <v>35658116</v>
      </c>
      <c r="I67" s="7">
        <f t="shared" si="10"/>
        <v>33790004</v>
      </c>
      <c r="J67" s="7">
        <f t="shared" si="10"/>
        <v>33106691.444900163</v>
      </c>
      <c r="K67" s="7">
        <f t="shared" si="10"/>
        <v>27249424</v>
      </c>
      <c r="L67" s="7">
        <f t="shared" si="10"/>
        <v>25567811</v>
      </c>
      <c r="M67" s="7">
        <f t="shared" si="10"/>
        <v>24282104</v>
      </c>
      <c r="N67" s="7">
        <f>+N62+N64</f>
        <v>18624665.8</v>
      </c>
      <c r="O67" s="7">
        <f t="shared" si="10"/>
        <v>18355920</v>
      </c>
      <c r="P67" s="7">
        <f t="shared" si="10"/>
        <v>17850447.286</v>
      </c>
      <c r="Q67" s="7">
        <f t="shared" si="10"/>
        <v>17595850</v>
      </c>
      <c r="R67" s="7">
        <f>+R62+R64</f>
        <v>15519891</v>
      </c>
      <c r="S67" s="7">
        <f t="shared" si="10"/>
        <v>15433319</v>
      </c>
      <c r="T67" s="7">
        <f t="shared" si="10"/>
        <v>15062065</v>
      </c>
      <c r="U67" s="7">
        <f t="shared" si="10"/>
        <v>13894194</v>
      </c>
      <c r="V67" s="7">
        <f>+V62+V64</f>
        <v>12382184.504</v>
      </c>
      <c r="W67" s="7">
        <f>+W62+W64</f>
        <v>11295059</v>
      </c>
      <c r="X67" s="7">
        <f>+X62+X64</f>
        <v>10959236.902999999</v>
      </c>
      <c r="Y67" s="7">
        <f>+Y62+Y64</f>
        <v>10352122.675999999</v>
      </c>
      <c r="Z67" s="7">
        <f t="shared" si="10"/>
        <v>10193237</v>
      </c>
      <c r="AA67" s="7">
        <f t="shared" si="10"/>
        <v>9071163.296</v>
      </c>
      <c r="AB67" s="7">
        <f t="shared" si="10"/>
        <v>7326024</v>
      </c>
      <c r="AC67" s="7">
        <f t="shared" si="10"/>
        <v>4096093</v>
      </c>
      <c r="AD67" s="7">
        <f t="shared" si="10"/>
        <v>3119405</v>
      </c>
      <c r="AE67" s="7">
        <f t="shared" si="10"/>
        <v>2973577</v>
      </c>
      <c r="AF67" s="7">
        <f t="shared" si="10"/>
        <v>2542380</v>
      </c>
      <c r="AG67" s="7">
        <f t="shared" si="10"/>
        <v>2418684</v>
      </c>
      <c r="AH67" s="7">
        <f>+AH62+AH64</f>
        <v>1842771</v>
      </c>
      <c r="AI67" s="7">
        <f t="shared" si="10"/>
        <v>1747773</v>
      </c>
      <c r="AJ67" s="7">
        <f t="shared" si="10"/>
        <v>1625459.7769999998</v>
      </c>
      <c r="AK67" s="7">
        <f t="shared" si="10"/>
        <v>1480328</v>
      </c>
      <c r="AL67" s="7">
        <f t="shared" si="10"/>
        <v>1306001</v>
      </c>
      <c r="AM67" s="7">
        <f t="shared" si="10"/>
        <v>946454</v>
      </c>
      <c r="AN67" s="7">
        <f t="shared" si="10"/>
        <v>702482.37</v>
      </c>
      <c r="AO67" s="7">
        <f t="shared" si="10"/>
        <v>613987.658</v>
      </c>
      <c r="AP67" s="7">
        <f t="shared" si="10"/>
        <v>608528</v>
      </c>
      <c r="AQ67" s="7">
        <f t="shared" si="10"/>
        <v>505608</v>
      </c>
      <c r="AR67" s="7">
        <f t="shared" si="10"/>
        <v>458796</v>
      </c>
      <c r="AS67" s="7">
        <f t="shared" si="10"/>
        <v>399523.58999999997</v>
      </c>
      <c r="AT67" s="7">
        <f t="shared" si="10"/>
        <v>210244</v>
      </c>
      <c r="AU67" s="7">
        <f t="shared" si="10"/>
        <v>88535.565</v>
      </c>
      <c r="AV67" s="7">
        <f>+AV62+AV64</f>
        <v>7967</v>
      </c>
      <c r="AW67" s="7">
        <f t="shared" si="10"/>
        <v>-16387</v>
      </c>
      <c r="AX67" s="7"/>
      <c r="AY67" s="18">
        <f>SUM(B67:AW67)-1</f>
        <v>986534746.2589</v>
      </c>
      <c r="AZ67" s="7"/>
    </row>
    <row r="68" spans="3:50" ht="12.75">
      <c r="C68" s="8"/>
      <c r="R68" s="7"/>
      <c r="AX68" s="18"/>
    </row>
    <row r="69" spans="2:50" ht="12.7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1" s="275" customFormat="1" ht="12.75" hidden="1">
      <c r="A70" s="279" t="s">
        <v>464</v>
      </c>
      <c r="B70" s="277">
        <f>-B67+'4.1. Samtryggingard.'!B65+'4.1. Samtryggingard.'!C65+'5.1. Séreignard.'!B66+'5.1. Séreignard.'!C66+'5.1. Séreignard.'!D66</f>
        <v>1.4901161193847656E-08</v>
      </c>
      <c r="C70" s="277">
        <f>+C67-'4.1. Samtryggingard.'!D65-'5.1. Séreignard.'!E66</f>
        <v>0</v>
      </c>
      <c r="D70" s="277">
        <f>+D67-'4.1. Samtryggingard.'!E65-'5.1. Séreignard.'!F66-'5.1. Séreignard.'!G66</f>
        <v>-3.958120942115784E-09</v>
      </c>
      <c r="E70" s="277">
        <f>+E67-'4.1. Samtryggingard.'!F65-'5.1. Séreignard.'!H66-'5.1. Séreignard.'!I66-'5.1. Séreignard.'!J66</f>
        <v>0</v>
      </c>
      <c r="F70" s="277">
        <f>+F67-'4.1. Samtryggingard.'!G65-'4.1. Samtryggingard.'!H65-'5.1. Séreignard.'!K66-'5.1. Séreignard.'!L66</f>
        <v>0</v>
      </c>
      <c r="G70" s="277">
        <f>+G67-'4.1. Samtryggingard.'!I65-'5.1. Séreignard.'!M66-'5.1. Séreignard.'!N66</f>
        <v>0</v>
      </c>
      <c r="H70" s="277">
        <f>+H67-'4.1. Samtryggingard.'!J65-'5.1. Séreignard.'!O66-'5.1. Séreignard.'!P66-'5.1. Séreignard.'!Q66</f>
        <v>0</v>
      </c>
      <c r="I70" s="277">
        <f>+I67-'4.1. Samtryggingard.'!K65-'5.1. Séreignard.'!R66</f>
        <v>0</v>
      </c>
      <c r="J70" s="277">
        <f>+J67-'4.1. Samtryggingard.'!L65-'5.1. Séreignard.'!S66-'5.1. Séreignard.'!T66-'5.1. Séreignard.'!U66-'5.1. Séreignard.'!V66</f>
        <v>1.3969838619232178E-09</v>
      </c>
      <c r="K70" s="277">
        <f>+K67-'4.1. Samtryggingard.'!M65-'5.1. Séreignard.'!W66-'5.1. Séreignard.'!X66</f>
        <v>0</v>
      </c>
      <c r="L70" s="277">
        <f>+L67-'4.1. Samtryggingard.'!N65-'4.1. Samtryggingard.'!O65</f>
        <v>0</v>
      </c>
      <c r="M70" s="277">
        <f>+M67-'4.1. Samtryggingard.'!P65-'4.1. Samtryggingard.'!Q65-'5.1. Séreignard.'!Y66</f>
        <v>0</v>
      </c>
      <c r="N70" s="277">
        <f>+N67-'4.1. Samtryggingard.'!R65</f>
        <v>0</v>
      </c>
      <c r="O70" s="277">
        <f>+O67-'4.1. Samtryggingard.'!S65-'5.1. Séreignard.'!Z66</f>
        <v>0</v>
      </c>
      <c r="P70" s="277">
        <f>+P67-'4.1. Samtryggingard.'!T65-'5.1. Séreignard.'!AA66</f>
        <v>0</v>
      </c>
      <c r="Q70" s="277">
        <f>+Q67-'4.1. Samtryggingard.'!U65-'5.1. Séreignard.'!AB66</f>
        <v>0</v>
      </c>
      <c r="R70" s="277">
        <f>+R67-'4.1. Samtryggingard.'!V65</f>
        <v>0</v>
      </c>
      <c r="S70" s="277">
        <f>+S67-'4.1. Samtryggingard.'!W65</f>
        <v>0</v>
      </c>
      <c r="T70" s="277">
        <f>+T67-'4.1. Samtryggingard.'!X65-'5.1. Séreignard.'!AC66-'5.1. Séreignard.'!AD66</f>
        <v>0</v>
      </c>
      <c r="U70" s="277">
        <f>+U67-'4.1. Samtryggingard.'!Y65</f>
        <v>0</v>
      </c>
      <c r="V70" s="277">
        <f>+V67-'4.1. Samtryggingard.'!Z65-'4.1. Samtryggingard.'!AA65-'5.1. Séreignard.'!AE66-'5.1. Séreignard.'!AF66-'5.1. Séreignard.'!AG66</f>
        <v>6.766640581190586E-10</v>
      </c>
      <c r="W70" s="277">
        <f>+W67-'4.1. Samtryggingard.'!AB65-'5.1. Séreignard.'!AH66</f>
        <v>0</v>
      </c>
      <c r="X70" s="277">
        <f>+X67-'4.1. Samtryggingard.'!AC65</f>
        <v>0</v>
      </c>
      <c r="Y70" s="277">
        <f>+Y67-'4.1. Samtryggingard.'!AD65-'5.1. Séreignard.'!AI66-'5.1. Séreignard.'!AJ66-'5.1. Séreignard.'!AK66-'5.1. Séreignard.'!AL66</f>
        <v>0</v>
      </c>
      <c r="Z70" s="277">
        <f>+Z67-'4.1. Samtryggingard.'!AE65</f>
        <v>0</v>
      </c>
      <c r="AA70" s="277">
        <f>+AA67-'4.1. Samtryggingard.'!AF65</f>
        <v>0</v>
      </c>
      <c r="AB70" s="277">
        <f>+AB67-'4.1. Samtryggingard.'!AG65</f>
        <v>0</v>
      </c>
      <c r="AC70" s="277">
        <f>+AC67-'4.1. Samtryggingard.'!AH65</f>
        <v>0</v>
      </c>
      <c r="AD70" s="277">
        <f>+AD67-'4.1. Samtryggingard.'!AI65-'4.1. Samtryggingard.'!AJ65</f>
        <v>0</v>
      </c>
      <c r="AE70" s="277">
        <f>+AE67-'4.1. Samtryggingard.'!AK65-'5.1. Séreignard.'!AM66</f>
        <v>0</v>
      </c>
      <c r="AF70" s="277">
        <f>+AF67-'4.1. Samtryggingard.'!AL65</f>
        <v>0</v>
      </c>
      <c r="AG70" s="277">
        <f>+AG67-'4.1. Samtryggingard.'!AM65</f>
        <v>0</v>
      </c>
      <c r="AH70" s="277">
        <f>+AH67-'4.1. Samtryggingard.'!AN65-'5.1. Séreignard.'!AN66</f>
        <v>0</v>
      </c>
      <c r="AI70" s="277">
        <f>+AI67-'4.1. Samtryggingard.'!AO65</f>
        <v>0</v>
      </c>
      <c r="AJ70" s="277">
        <f>+AJ67-'4.1. Samtryggingard.'!AP65</f>
        <v>0</v>
      </c>
      <c r="AK70" s="277">
        <f>+AK67-'4.1. Samtryggingard.'!AQ65</f>
        <v>0</v>
      </c>
      <c r="AL70" s="277">
        <f>+AL67-'4.1. Samtryggingard.'!AR65</f>
        <v>0</v>
      </c>
      <c r="AM70" s="277">
        <f>+AM67-'4.1. Samtryggingard.'!AS65</f>
        <v>0</v>
      </c>
      <c r="AN70" s="277">
        <f>+AN67-'4.1. Samtryggingard.'!AT65</f>
        <v>0</v>
      </c>
      <c r="AO70" s="277">
        <f>+AO67-'4.1. Samtryggingard.'!AU65</f>
        <v>0</v>
      </c>
      <c r="AP70" s="277">
        <f>+AP67-'4.1. Samtryggingard.'!AV65</f>
        <v>0</v>
      </c>
      <c r="AQ70" s="277">
        <f>+AQ67-'4.1. Samtryggingard.'!AW65</f>
        <v>0</v>
      </c>
      <c r="AR70" s="277">
        <f>+AR67-'4.1. Samtryggingard.'!AX65</f>
        <v>0</v>
      </c>
      <c r="AS70" s="277">
        <f>+AS67-'4.1. Samtryggingard.'!AY65</f>
        <v>0</v>
      </c>
      <c r="AT70" s="277">
        <f>+AT67-'4.1. Samtryggingard.'!AZ65</f>
        <v>0</v>
      </c>
      <c r="AU70" s="277">
        <f>+AU67-'4.1. Samtryggingard.'!BA65</f>
        <v>0</v>
      </c>
      <c r="AV70" s="277">
        <f>+AV67-'4.1. Samtryggingard.'!BB65</f>
        <v>0</v>
      </c>
      <c r="AW70" s="277">
        <f>+AW67-'4.1. Samtryggingard.'!BC65</f>
        <v>0</v>
      </c>
      <c r="AX70" s="277"/>
      <c r="AY70" s="277"/>
    </row>
    <row r="71" spans="16:50" ht="12.75">
      <c r="P71" s="7"/>
      <c r="AX71" s="18"/>
    </row>
    <row r="72" ht="12.75">
      <c r="AX72" s="18"/>
    </row>
    <row r="73" ht="12.75">
      <c r="AX73" s="18"/>
    </row>
    <row r="74" ht="12.75">
      <c r="AX74" s="18"/>
    </row>
    <row r="75" ht="12.75">
      <c r="AX75" s="18"/>
    </row>
    <row r="76" ht="12.75">
      <c r="AX76" s="18"/>
    </row>
    <row r="77" ht="12.75">
      <c r="AX77" s="18"/>
    </row>
    <row r="78" ht="12.75">
      <c r="AX78" s="18"/>
    </row>
    <row r="79" ht="12.75">
      <c r="AX79" s="18"/>
    </row>
    <row r="80" ht="12.75">
      <c r="AX80" s="18"/>
    </row>
    <row r="81" ht="12.75">
      <c r="AX81" s="18"/>
    </row>
    <row r="82" ht="12.75">
      <c r="AX82" s="18"/>
    </row>
    <row r="83" ht="12.75">
      <c r="AX83" s="18"/>
    </row>
    <row r="84" ht="12.75">
      <c r="AX84" s="18"/>
    </row>
    <row r="85" ht="12.75">
      <c r="AX85" s="18"/>
    </row>
    <row r="86" ht="12.75">
      <c r="AX86" s="18"/>
    </row>
    <row r="87" ht="12.75">
      <c r="AX87" s="18"/>
    </row>
    <row r="88" ht="12.75">
      <c r="AX88" s="18"/>
    </row>
    <row r="89" ht="12.75">
      <c r="AX89" s="18"/>
    </row>
    <row r="90" ht="12.75">
      <c r="AX90" s="18"/>
    </row>
    <row r="91" ht="12.75">
      <c r="AX91" s="18"/>
    </row>
    <row r="92" ht="12.75">
      <c r="AX92" s="18"/>
    </row>
    <row r="93" ht="12.75">
      <c r="AX93" s="18"/>
    </row>
    <row r="94" ht="12.75">
      <c r="AX94" s="18"/>
    </row>
  </sheetData>
  <sheetProtection/>
  <printOptions/>
  <pageMargins left="0.4724409448818898" right="0.2362204724409449" top="0.7874015748031497" bottom="0" header="0.2362204724409449" footer="0.11811023622047245"/>
  <pageSetup firstPageNumber="11" useFirstPageNumber="1" horizontalDpi="600" verticalDpi="600" orientation="portrait" paperSize="9" scale="96" r:id="rId3"/>
  <headerFooter alignWithMargins="0">
    <oddHeader>&amp;C&amp;"Times New Roman,Bold"&amp;14 3.1. YFIRLIT UM BREYTINGU Á HREINNI EIGN TIL GREIÐSLU LÍFEYRIS ÁRIÐ 2004</oddHeader>
    <oddFooter>&amp;R&amp;"Times New Roman,Regular"&amp;P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61"/>
  <sheetViews>
    <sheetView zoomScalePageLayoutView="0" workbookViewId="0" topLeftCell="A1">
      <pane xSplit="1" ySplit="5" topLeftCell="AV6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2" sqref="A2"/>
    </sheetView>
  </sheetViews>
  <sheetFormatPr defaultColWidth="11.140625" defaultRowHeight="12.75"/>
  <cols>
    <col min="1" max="1" width="30.28125" style="18" customWidth="1"/>
    <col min="2" max="3" width="9.7109375" style="18" customWidth="1"/>
    <col min="4" max="8" width="9.28125" style="18" customWidth="1"/>
    <col min="9" max="9" width="10.140625" style="18" bestFit="1" customWidth="1"/>
    <col min="10" max="12" width="9.28125" style="18" customWidth="1"/>
    <col min="13" max="13" width="9.28125" style="18" bestFit="1" customWidth="1"/>
    <col min="14" max="17" width="9.28125" style="18" customWidth="1"/>
    <col min="18" max="18" width="9.8515625" style="18" bestFit="1" customWidth="1"/>
    <col min="19" max="19" width="9.28125" style="18" customWidth="1"/>
    <col min="20" max="20" width="10.28125" style="18" bestFit="1" customWidth="1"/>
    <col min="21" max="28" width="9.28125" style="18" customWidth="1"/>
    <col min="29" max="29" width="10.7109375" style="18" bestFit="1" customWidth="1"/>
    <col min="30" max="30" width="9.28125" style="18" customWidth="1"/>
    <col min="31" max="31" width="9.8515625" style="18" bestFit="1" customWidth="1"/>
    <col min="32" max="32" width="9.28125" style="18" customWidth="1"/>
    <col min="33" max="33" width="10.00390625" style="18" customWidth="1"/>
    <col min="34" max="35" width="9.28125" style="18" customWidth="1"/>
    <col min="36" max="36" width="10.421875" style="18" customWidth="1"/>
    <col min="37" max="37" width="9.28125" style="18" customWidth="1"/>
    <col min="38" max="38" width="9.57421875" style="18" customWidth="1"/>
    <col min="39" max="39" width="9.28125" style="18" customWidth="1"/>
    <col min="40" max="42" width="10.7109375" style="18" bestFit="1" customWidth="1"/>
    <col min="43" max="44" width="9.28125" style="18" customWidth="1"/>
    <col min="45" max="45" width="13.140625" style="18" customWidth="1"/>
    <col min="46" max="46" width="9.28125" style="18" customWidth="1"/>
    <col min="47" max="47" width="10.7109375" style="18" bestFit="1" customWidth="1"/>
    <col min="48" max="48" width="9.421875" style="18" customWidth="1"/>
    <col min="49" max="49" width="10.28125" style="18" bestFit="1" customWidth="1"/>
    <col min="50" max="50" width="7.8515625" style="0" customWidth="1"/>
    <col min="51" max="51" width="12.8515625" style="18" customWidth="1"/>
    <col min="52" max="52" width="5.00390625" style="18" customWidth="1"/>
    <col min="53" max="16384" width="11.140625" style="18" customWidth="1"/>
  </cols>
  <sheetData>
    <row r="1" spans="1:52" ht="12.75" customHeight="1">
      <c r="A1" s="7"/>
      <c r="B1" s="55" t="s">
        <v>69</v>
      </c>
      <c r="C1" s="55" t="s">
        <v>69</v>
      </c>
      <c r="D1" s="55" t="s">
        <v>69</v>
      </c>
      <c r="E1" s="55" t="s">
        <v>69</v>
      </c>
      <c r="F1" s="55" t="s">
        <v>70</v>
      </c>
      <c r="G1" s="55" t="s">
        <v>69</v>
      </c>
      <c r="H1" s="55" t="s">
        <v>73</v>
      </c>
      <c r="I1" s="55" t="s">
        <v>71</v>
      </c>
      <c r="J1" s="55" t="s">
        <v>481</v>
      </c>
      <c r="K1" s="55" t="s">
        <v>69</v>
      </c>
      <c r="L1" s="55" t="s">
        <v>69</v>
      </c>
      <c r="M1" s="55" t="s">
        <v>72</v>
      </c>
      <c r="N1" s="55" t="s">
        <v>69</v>
      </c>
      <c r="O1" s="55" t="s">
        <v>69</v>
      </c>
      <c r="P1" s="55" t="s">
        <v>69</v>
      </c>
      <c r="Q1" s="55" t="s">
        <v>69</v>
      </c>
      <c r="R1" s="55" t="s">
        <v>69</v>
      </c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76</v>
      </c>
      <c r="Z1" s="55" t="s">
        <v>74</v>
      </c>
      <c r="AA1" s="55" t="s">
        <v>69</v>
      </c>
      <c r="AB1" s="55" t="s">
        <v>69</v>
      </c>
      <c r="AC1" s="55" t="s">
        <v>77</v>
      </c>
      <c r="AD1" s="55" t="s">
        <v>69</v>
      </c>
      <c r="AE1" s="55" t="s">
        <v>69</v>
      </c>
      <c r="AF1" s="55" t="s">
        <v>69</v>
      </c>
      <c r="AG1" s="55" t="s">
        <v>69</v>
      </c>
      <c r="AH1" s="55" t="s">
        <v>69</v>
      </c>
      <c r="AI1" s="55" t="s">
        <v>69</v>
      </c>
      <c r="AJ1" s="55" t="s">
        <v>77</v>
      </c>
      <c r="AK1" s="55" t="s">
        <v>69</v>
      </c>
      <c r="AL1" s="55" t="s">
        <v>69</v>
      </c>
      <c r="AM1" s="55" t="s">
        <v>69</v>
      </c>
      <c r="AN1" s="55" t="s">
        <v>77</v>
      </c>
      <c r="AO1" s="55" t="s">
        <v>77</v>
      </c>
      <c r="AP1" s="55" t="s">
        <v>77</v>
      </c>
      <c r="AQ1" s="55" t="s">
        <v>69</v>
      </c>
      <c r="AR1" s="55" t="s">
        <v>75</v>
      </c>
      <c r="AS1" s="55" t="s">
        <v>69</v>
      </c>
      <c r="AT1" s="55" t="s">
        <v>69</v>
      </c>
      <c r="AU1" s="55" t="s">
        <v>77</v>
      </c>
      <c r="AV1" s="55" t="s">
        <v>69</v>
      </c>
      <c r="AW1" s="55" t="s">
        <v>69</v>
      </c>
      <c r="AY1" s="55" t="s">
        <v>79</v>
      </c>
      <c r="AZ1" s="55"/>
    </row>
    <row r="2" spans="1:52" ht="12.75">
      <c r="A2" s="10" t="s">
        <v>62</v>
      </c>
      <c r="B2" s="55" t="s">
        <v>100</v>
      </c>
      <c r="C2" s="55" t="s">
        <v>80</v>
      </c>
      <c r="D2" s="55" t="s">
        <v>82</v>
      </c>
      <c r="E2" s="55" t="s">
        <v>84</v>
      </c>
      <c r="F2" s="55" t="s">
        <v>83</v>
      </c>
      <c r="G2" s="55" t="s">
        <v>85</v>
      </c>
      <c r="H2" s="55" t="s">
        <v>83</v>
      </c>
      <c r="I2" s="55" t="s">
        <v>83</v>
      </c>
      <c r="J2" s="55" t="s">
        <v>95</v>
      </c>
      <c r="K2" s="55" t="s">
        <v>87</v>
      </c>
      <c r="L2" s="55" t="s">
        <v>86</v>
      </c>
      <c r="M2" s="55" t="s">
        <v>83</v>
      </c>
      <c r="N2" s="55" t="s">
        <v>90</v>
      </c>
      <c r="O2" s="55" t="s">
        <v>88</v>
      </c>
      <c r="P2" s="55" t="s">
        <v>89</v>
      </c>
      <c r="Q2" s="55" t="s">
        <v>93</v>
      </c>
      <c r="R2" s="55" t="s">
        <v>96</v>
      </c>
      <c r="S2" s="55" t="s">
        <v>92</v>
      </c>
      <c r="T2" s="55" t="s">
        <v>94</v>
      </c>
      <c r="U2" s="55" t="s">
        <v>91</v>
      </c>
      <c r="V2" s="55" t="s">
        <v>100</v>
      </c>
      <c r="W2" s="55" t="s">
        <v>97</v>
      </c>
      <c r="X2" s="55" t="s">
        <v>100</v>
      </c>
      <c r="Y2" s="55" t="s">
        <v>83</v>
      </c>
      <c r="Z2" s="55" t="s">
        <v>98</v>
      </c>
      <c r="AA2" s="55" t="s">
        <v>100</v>
      </c>
      <c r="AB2" s="55" t="s">
        <v>101</v>
      </c>
      <c r="AC2" s="55" t="s">
        <v>100</v>
      </c>
      <c r="AD2" s="55" t="s">
        <v>102</v>
      </c>
      <c r="AE2" s="55" t="s">
        <v>105</v>
      </c>
      <c r="AF2" s="55" t="s">
        <v>104</v>
      </c>
      <c r="AG2" s="55" t="s">
        <v>103</v>
      </c>
      <c r="AH2" s="55" t="s">
        <v>109</v>
      </c>
      <c r="AI2" s="55" t="s">
        <v>106</v>
      </c>
      <c r="AJ2" s="55" t="s">
        <v>107</v>
      </c>
      <c r="AK2" s="55" t="s">
        <v>108</v>
      </c>
      <c r="AL2" s="55" t="s">
        <v>110</v>
      </c>
      <c r="AM2" s="55" t="s">
        <v>111</v>
      </c>
      <c r="AN2" s="55" t="s">
        <v>113</v>
      </c>
      <c r="AO2" s="55" t="s">
        <v>112</v>
      </c>
      <c r="AP2" s="55" t="s">
        <v>114</v>
      </c>
      <c r="AQ2" s="55" t="s">
        <v>100</v>
      </c>
      <c r="AR2" s="55" t="s">
        <v>99</v>
      </c>
      <c r="AS2" s="55" t="s">
        <v>395</v>
      </c>
      <c r="AT2" s="55" t="s">
        <v>115</v>
      </c>
      <c r="AU2" s="55" t="s">
        <v>116</v>
      </c>
      <c r="AV2" s="55" t="s">
        <v>118</v>
      </c>
      <c r="AW2" s="55" t="s">
        <v>117</v>
      </c>
      <c r="AY2" s="55" t="s">
        <v>119</v>
      </c>
      <c r="AZ2" s="55"/>
    </row>
    <row r="3" spans="1:52" ht="12.75">
      <c r="A3" s="7"/>
      <c r="B3" s="55" t="s">
        <v>526</v>
      </c>
      <c r="C3" s="55" t="s">
        <v>122</v>
      </c>
      <c r="D3" s="55" t="s">
        <v>57</v>
      </c>
      <c r="E3" s="55" t="s">
        <v>57</v>
      </c>
      <c r="F3" s="55" t="s">
        <v>99</v>
      </c>
      <c r="G3" s="55" t="s">
        <v>123</v>
      </c>
      <c r="H3" s="55" t="s">
        <v>99</v>
      </c>
      <c r="I3" s="55" t="s">
        <v>124</v>
      </c>
      <c r="J3" s="55"/>
      <c r="K3" s="55" t="s">
        <v>57</v>
      </c>
      <c r="L3" s="55" t="s">
        <v>125</v>
      </c>
      <c r="M3" s="55" t="s">
        <v>99</v>
      </c>
      <c r="N3" s="55" t="s">
        <v>57</v>
      </c>
      <c r="O3" s="55" t="s">
        <v>123</v>
      </c>
      <c r="P3" s="55" t="s">
        <v>126</v>
      </c>
      <c r="Q3" s="55" t="s">
        <v>128</v>
      </c>
      <c r="R3" s="55" t="s">
        <v>130</v>
      </c>
      <c r="S3" s="55" t="s">
        <v>127</v>
      </c>
      <c r="T3" s="55" t="s">
        <v>129</v>
      </c>
      <c r="U3" s="55" t="s">
        <v>57</v>
      </c>
      <c r="V3" s="55" t="s">
        <v>139</v>
      </c>
      <c r="W3" s="55" t="s">
        <v>123</v>
      </c>
      <c r="X3" s="55" t="s">
        <v>134</v>
      </c>
      <c r="Y3" s="55" t="s">
        <v>133</v>
      </c>
      <c r="Z3" s="55" t="s">
        <v>131</v>
      </c>
      <c r="AA3" s="55" t="s">
        <v>132</v>
      </c>
      <c r="AB3" s="55"/>
      <c r="AC3" s="55" t="s">
        <v>136</v>
      </c>
      <c r="AD3" s="55" t="s">
        <v>135</v>
      </c>
      <c r="AE3" s="55"/>
      <c r="AF3" s="55" t="s">
        <v>138</v>
      </c>
      <c r="AG3" s="55" t="s">
        <v>137</v>
      </c>
      <c r="AH3" s="55" t="s">
        <v>142</v>
      </c>
      <c r="AI3" s="55" t="s">
        <v>372</v>
      </c>
      <c r="AJ3" s="55" t="s">
        <v>140</v>
      </c>
      <c r="AK3" s="55" t="s">
        <v>141</v>
      </c>
      <c r="AL3" s="55" t="s">
        <v>143</v>
      </c>
      <c r="AM3" s="55" t="s">
        <v>144</v>
      </c>
      <c r="AN3" s="55" t="s">
        <v>145</v>
      </c>
      <c r="AO3" s="55" t="s">
        <v>101</v>
      </c>
      <c r="AP3" s="55" t="s">
        <v>146</v>
      </c>
      <c r="AQ3" s="55" t="s">
        <v>147</v>
      </c>
      <c r="AR3" s="55" t="s">
        <v>148</v>
      </c>
      <c r="AS3" s="55" t="s">
        <v>394</v>
      </c>
      <c r="AT3" s="55" t="s">
        <v>149</v>
      </c>
      <c r="AU3" s="55" t="s">
        <v>150</v>
      </c>
      <c r="AV3" s="55" t="s">
        <v>152</v>
      </c>
      <c r="AW3" s="55" t="s">
        <v>151</v>
      </c>
      <c r="AY3" s="55" t="s">
        <v>153</v>
      </c>
      <c r="AZ3" s="55"/>
    </row>
    <row r="4" spans="1:52" s="59" customFormat="1" ht="12.75">
      <c r="A4" s="55"/>
      <c r="B4" s="58" t="s">
        <v>362</v>
      </c>
      <c r="C4" s="58" t="s">
        <v>155</v>
      </c>
      <c r="D4" s="58" t="s">
        <v>159</v>
      </c>
      <c r="E4" s="58" t="s">
        <v>160</v>
      </c>
      <c r="F4" s="58" t="s">
        <v>163</v>
      </c>
      <c r="G4" s="58" t="s">
        <v>164</v>
      </c>
      <c r="H4" s="58" t="s">
        <v>165</v>
      </c>
      <c r="I4" s="58" t="s">
        <v>166</v>
      </c>
      <c r="J4" s="58" t="s">
        <v>167</v>
      </c>
      <c r="K4" s="58" t="s">
        <v>168</v>
      </c>
      <c r="L4" s="58" t="s">
        <v>169</v>
      </c>
      <c r="M4" s="58" t="s">
        <v>170</v>
      </c>
      <c r="N4" s="58" t="s">
        <v>171</v>
      </c>
      <c r="O4" s="58" t="s">
        <v>172</v>
      </c>
      <c r="P4" s="58" t="s">
        <v>173</v>
      </c>
      <c r="Q4" s="58" t="s">
        <v>174</v>
      </c>
      <c r="R4" s="58" t="s">
        <v>175</v>
      </c>
      <c r="S4" s="58" t="s">
        <v>176</v>
      </c>
      <c r="T4" s="58" t="s">
        <v>177</v>
      </c>
      <c r="U4" s="58" t="s">
        <v>178</v>
      </c>
      <c r="V4" s="58" t="s">
        <v>179</v>
      </c>
      <c r="W4" s="58" t="s">
        <v>180</v>
      </c>
      <c r="X4" s="58" t="s">
        <v>477</v>
      </c>
      <c r="Y4" s="58" t="s">
        <v>181</v>
      </c>
      <c r="Z4" s="58" t="s">
        <v>182</v>
      </c>
      <c r="AA4" s="58" t="s">
        <v>183</v>
      </c>
      <c r="AB4" s="58" t="s">
        <v>184</v>
      </c>
      <c r="AC4" s="58" t="s">
        <v>185</v>
      </c>
      <c r="AD4" s="58" t="s">
        <v>186</v>
      </c>
      <c r="AE4" s="58" t="s">
        <v>187</v>
      </c>
      <c r="AF4" s="58" t="s">
        <v>188</v>
      </c>
      <c r="AG4" s="58" t="s">
        <v>189</v>
      </c>
      <c r="AH4" s="58" t="s">
        <v>192</v>
      </c>
      <c r="AI4" s="58" t="s">
        <v>193</v>
      </c>
      <c r="AJ4" s="58" t="s">
        <v>194</v>
      </c>
      <c r="AK4" s="58" t="s">
        <v>195</v>
      </c>
      <c r="AL4" s="58" t="s">
        <v>196</v>
      </c>
      <c r="AM4" s="58" t="s">
        <v>198</v>
      </c>
      <c r="AN4" s="58" t="s">
        <v>199</v>
      </c>
      <c r="AO4" s="58" t="s">
        <v>200</v>
      </c>
      <c r="AP4" s="58" t="s">
        <v>201</v>
      </c>
      <c r="AQ4" s="58" t="s">
        <v>202</v>
      </c>
      <c r="AR4" s="58" t="s">
        <v>203</v>
      </c>
      <c r="AS4" s="58" t="s">
        <v>204</v>
      </c>
      <c r="AT4" s="58" t="s">
        <v>205</v>
      </c>
      <c r="AU4" s="58" t="s">
        <v>206</v>
      </c>
      <c r="AV4" s="58" t="s">
        <v>207</v>
      </c>
      <c r="AW4" s="58" t="s">
        <v>208</v>
      </c>
      <c r="AY4" s="55"/>
      <c r="AZ4" s="55"/>
    </row>
    <row r="5" spans="1:52" ht="12.75">
      <c r="A5" s="9" t="s">
        <v>224</v>
      </c>
      <c r="AY5" s="7"/>
      <c r="AZ5" s="7"/>
    </row>
    <row r="6" spans="1:52" ht="15" customHeight="1">
      <c r="A6" s="64" t="s">
        <v>225</v>
      </c>
      <c r="B6" s="7">
        <f>+'4.1. Samtryggingard.'!B69+'4.1. Samtryggingard.'!C69+'5.1. Séreignard.'!B70+'5.1. Séreignard.'!C70+'5.1. Séreignard.'!D70</f>
        <v>0</v>
      </c>
      <c r="C6" s="7">
        <f>+'4.1. Samtryggingard.'!D69+'5.1. Séreignard.'!E70</f>
        <v>0</v>
      </c>
      <c r="D6" s="7">
        <f>+'4.1. Samtryggingard.'!E69+'5.1. Séreignard.'!F70+'5.1. Séreignard.'!G70</f>
        <v>0</v>
      </c>
      <c r="E6" s="7">
        <f>+'4.1. Samtryggingard.'!F69+'5.1. Séreignard.'!H70+'5.1. Séreignard.'!I70+'5.1. Séreignard.'!J70</f>
        <v>0</v>
      </c>
      <c r="F6" s="7">
        <f>+'4.1. Samtryggingard.'!G69+'4.1. Samtryggingard.'!H69+'5.1. Séreignard.'!K70+'5.1. Séreignard.'!L70</f>
        <v>0</v>
      </c>
      <c r="G6" s="7">
        <f>+'4.1. Samtryggingard.'!I69+'5.1. Séreignard.'!M70+'5.1. Séreignard.'!N70</f>
        <v>0</v>
      </c>
      <c r="H6" s="7">
        <f>+'4.1. Samtryggingard.'!J69+'5.1. Séreignard.'!O70+'5.1. Séreignard.'!P70+'5.1. Séreignard.'!Q70</f>
        <v>0</v>
      </c>
      <c r="I6" s="7">
        <f>+'4.1. Samtryggingard.'!K69+'5.1. Séreignard.'!R70</f>
        <v>0</v>
      </c>
      <c r="J6" s="7">
        <f>+'4.1. Samtryggingard.'!L69+'5.1. Séreignard.'!S70+'5.1. Séreignard.'!T70+'5.1. Séreignard.'!U70+'5.1. Séreignard.'!V70</f>
        <v>0</v>
      </c>
      <c r="K6" s="7">
        <f>+'4.1. Samtryggingard.'!M69+'5.1. Séreignard.'!W70+'5.1. Séreignard.'!X70</f>
        <v>0</v>
      </c>
      <c r="L6" s="7">
        <f>+'4.1. Samtryggingard.'!N69+'4.1. Samtryggingard.'!O69</f>
        <v>0</v>
      </c>
      <c r="M6" s="7">
        <f>+'4.1. Samtryggingard.'!P69+'4.1. Samtryggingard.'!Q69+'5.1. Séreignard.'!Y70</f>
        <v>0</v>
      </c>
      <c r="N6" s="7">
        <f>+'4.1. Samtryggingard.'!R69</f>
        <v>0</v>
      </c>
      <c r="O6" s="7">
        <f>+'4.1. Samtryggingard.'!S69+'5.1. Séreignard.'!Z70</f>
        <v>0</v>
      </c>
      <c r="P6" s="7">
        <f>+'4.1. Samtryggingard.'!T69+'5.1. Séreignard.'!AA70</f>
        <v>0</v>
      </c>
      <c r="Q6" s="7">
        <f>+'4.1. Samtryggingard.'!U69+'5.1. Séreignard.'!AB70</f>
        <v>0</v>
      </c>
      <c r="R6" s="7">
        <f>+'4.1. Samtryggingard.'!V69</f>
        <v>0</v>
      </c>
      <c r="S6" s="7">
        <f>+'4.1. Samtryggingard.'!W69</f>
        <v>0</v>
      </c>
      <c r="T6" s="7">
        <f>+'4.1. Samtryggingard.'!X69+'5.1. Séreignard.'!AC70+'5.1. Séreignard.'!AD70</f>
        <v>0</v>
      </c>
      <c r="U6" s="7">
        <f>+'4.1. Samtryggingard.'!Y69</f>
        <v>0</v>
      </c>
      <c r="V6" s="7">
        <f>+'4.1. Samtryggingard.'!Z69+'4.1. Samtryggingard.'!AA69+'5.1. Séreignard.'!AE70+'5.1. Séreignard.'!AF70+'5.1. Séreignard.'!AG70</f>
        <v>0</v>
      </c>
      <c r="W6" s="7">
        <f>+'4.1. Samtryggingard.'!AB69+'5.1. Séreignard.'!AH70</f>
        <v>0</v>
      </c>
      <c r="X6" s="7">
        <f>+'4.1. Samtryggingard.'!AC69</f>
        <v>0</v>
      </c>
      <c r="Y6" s="7">
        <f>+'4.1. Samtryggingard.'!AD69+'5.1. Séreignard.'!AI70+'5.1. Séreignard.'!AJ70+'5.1. Séreignard.'!AK70+'5.1. Séreignard.'!AL70</f>
        <v>0</v>
      </c>
      <c r="Z6" s="7">
        <f>+'4.1. Samtryggingard.'!AE69</f>
        <v>0</v>
      </c>
      <c r="AA6" s="7">
        <f>+'4.1. Samtryggingard.'!AF69</f>
        <v>0</v>
      </c>
      <c r="AB6" s="7">
        <f>+'4.1. Samtryggingard.'!AG69</f>
        <v>0</v>
      </c>
      <c r="AC6" s="7">
        <f>+'4.1. Samtryggingard.'!AH69</f>
        <v>0</v>
      </c>
      <c r="AD6" s="7">
        <f>+'4.1. Samtryggingard.'!AI69+'4.1. Samtryggingard.'!AJ69</f>
        <v>0</v>
      </c>
      <c r="AE6" s="7">
        <f>+'4.1. Samtryggingard.'!AK69+'5.1. Séreignard.'!AM70</f>
        <v>0</v>
      </c>
      <c r="AF6" s="7">
        <f>+'4.1. Samtryggingard.'!AL69</f>
        <v>0</v>
      </c>
      <c r="AG6" s="7">
        <f>+'4.1. Samtryggingard.'!AM69</f>
        <v>0</v>
      </c>
      <c r="AH6" s="7">
        <f>+'4.1. Samtryggingard.'!AN69+'5.1. Séreignard.'!AN70</f>
        <v>0</v>
      </c>
      <c r="AI6" s="7">
        <f>+'4.1. Samtryggingard.'!AO69</f>
        <v>0</v>
      </c>
      <c r="AJ6" s="7">
        <f>+'4.1. Samtryggingard.'!AP69</f>
        <v>0</v>
      </c>
      <c r="AK6" s="7">
        <f>+'4.1. Samtryggingard.'!AQ69</f>
        <v>0</v>
      </c>
      <c r="AL6" s="7">
        <f>+'4.1. Samtryggingard.'!AR69</f>
        <v>0</v>
      </c>
      <c r="AM6" s="7">
        <f>+'4.1. Samtryggingard.'!AS69</f>
        <v>0</v>
      </c>
      <c r="AN6" s="7">
        <f>+'4.1. Samtryggingard.'!AT69</f>
        <v>0</v>
      </c>
      <c r="AO6" s="7">
        <f>+'4.1. Samtryggingard.'!AU69</f>
        <v>0</v>
      </c>
      <c r="AP6" s="7">
        <f>+'4.1. Samtryggingard.'!AV69</f>
        <v>0</v>
      </c>
      <c r="AQ6" s="7">
        <f>+'4.1. Samtryggingard.'!AW69</f>
        <v>0</v>
      </c>
      <c r="AR6" s="7">
        <f>+'4.1. Samtryggingard.'!AX69</f>
        <v>0</v>
      </c>
      <c r="AS6" s="7">
        <f>+'4.1. Samtryggingard.'!AY69</f>
        <v>0</v>
      </c>
      <c r="AT6" s="7">
        <f>+'4.1. Samtryggingard.'!AZ69</f>
        <v>0</v>
      </c>
      <c r="AU6" s="7">
        <f>+'4.1. Samtryggingard.'!BA69</f>
        <v>0</v>
      </c>
      <c r="AV6" s="7">
        <f>+'4.1. Samtryggingard.'!BB69</f>
        <v>0</v>
      </c>
      <c r="AW6" s="7">
        <f>+'4.1. Samtryggingard.'!BC69</f>
        <v>0</v>
      </c>
      <c r="AY6" s="7">
        <f>SUM(B6:AW6)</f>
        <v>0</v>
      </c>
      <c r="AZ6" s="7"/>
    </row>
    <row r="7" spans="1:52" ht="8.25" customHeight="1">
      <c r="A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Y7" s="7"/>
      <c r="AZ7" s="7"/>
    </row>
    <row r="8" spans="1:52" ht="12.75">
      <c r="A8" s="9" t="s">
        <v>226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Y8" s="7"/>
      <c r="AZ8" s="7"/>
    </row>
    <row r="9" spans="1:52" ht="12.75">
      <c r="A9" s="10" t="s">
        <v>227</v>
      </c>
      <c r="B9" s="8">
        <f>+'4.1. Samtryggingard.'!B72+'4.1. Samtryggingard.'!C72+'5.1. Séreignard.'!B73+'5.1. Séreignard.'!C73+'5.1. Séreignard.'!D73</f>
        <v>135092</v>
      </c>
      <c r="C9" s="8">
        <f>+'4.1. Samtryggingard.'!D72+'5.1. Séreignard.'!E73</f>
        <v>293390</v>
      </c>
      <c r="D9" s="7">
        <f>+'4.1. Samtryggingard.'!E72+'5.1. Séreignard.'!F73+'5.1. Séreignard.'!G73</f>
        <v>214121</v>
      </c>
      <c r="E9" s="7">
        <f>+'4.1. Samtryggingard.'!F72+'5.1. Séreignard.'!H73+'5.1. Séreignard.'!I73+'5.1. Séreignard.'!J73</f>
        <v>94674</v>
      </c>
      <c r="F9" s="7">
        <f>+'4.1. Samtryggingard.'!G72+'4.1. Samtryggingard.'!H72+'5.1. Séreignard.'!K73+'5.1. Séreignard.'!L73</f>
        <v>154809</v>
      </c>
      <c r="G9" s="7">
        <f>+'4.1. Samtryggingard.'!I72+'5.1. Séreignard.'!M73+'5.1. Séreignard.'!N73</f>
        <v>76800</v>
      </c>
      <c r="H9" s="7">
        <f>+'4.1. Samtryggingard.'!J72+'5.1. Séreignard.'!O73+'5.1. Séreignard.'!P73+'5.1. Séreignard.'!Q73</f>
        <v>0</v>
      </c>
      <c r="I9" s="7">
        <f>+'4.1. Samtryggingard.'!K72+'5.1. Séreignard.'!R73</f>
        <v>0</v>
      </c>
      <c r="J9" s="7">
        <f>+'4.1. Samtryggingard.'!L72+'5.1. Séreignard.'!S73+'5.1. Séreignard.'!T73+'5.1. Séreignard.'!U73+'5.1. Séreignard.'!V73</f>
        <v>0</v>
      </c>
      <c r="K9" s="7">
        <f>+'4.1. Samtryggingard.'!M72+'5.1. Séreignard.'!W73+'5.1. Séreignard.'!X73</f>
        <v>70345</v>
      </c>
      <c r="L9" s="7">
        <f>+'4.1. Samtryggingard.'!N72+'4.1. Samtryggingard.'!O72</f>
        <v>0</v>
      </c>
      <c r="M9" s="7">
        <f>+'4.1. Samtryggingard.'!P72+'4.1. Samtryggingard.'!Q72+'5.1. Séreignard.'!Y73</f>
        <v>73713</v>
      </c>
      <c r="N9" s="7">
        <f>+'4.1. Samtryggingard.'!R72</f>
        <v>0</v>
      </c>
      <c r="O9" s="7">
        <f>+'4.1. Samtryggingard.'!S72+'5.1. Séreignard.'!Z73</f>
        <v>27180</v>
      </c>
      <c r="P9" s="7">
        <f>+'4.1. Samtryggingard.'!T72+'5.1. Séreignard.'!AA73</f>
        <v>36880</v>
      </c>
      <c r="Q9" s="7">
        <f>+'4.1. Samtryggingard.'!U72+'5.1. Séreignard.'!AB73</f>
        <v>0</v>
      </c>
      <c r="R9" s="7">
        <f>+'4.1. Samtryggingard.'!V72</f>
        <v>15010</v>
      </c>
      <c r="S9" s="7">
        <f>+'4.1. Samtryggingard.'!W72</f>
        <v>0</v>
      </c>
      <c r="T9" s="7">
        <f>+'4.1. Samtryggingard.'!X72+'5.1. Séreignard.'!AC73+'5.1. Séreignard.'!AD73</f>
        <v>24561</v>
      </c>
      <c r="U9" s="7">
        <f>+'4.1. Samtryggingard.'!Y72</f>
        <v>0</v>
      </c>
      <c r="V9" s="7">
        <f>+'4.1. Samtryggingard.'!Z72+'4.1. Samtryggingard.'!AA72+'5.1. Séreignard.'!AE73+'5.1. Séreignard.'!AF73+'5.1. Séreignard.'!AG73</f>
        <v>0</v>
      </c>
      <c r="W9" s="7">
        <f>+'4.1. Samtryggingard.'!AB72+'5.1. Séreignard.'!AH73</f>
        <v>17968</v>
      </c>
      <c r="X9" s="7">
        <f>+'4.1. Samtryggingard.'!AC72</f>
        <v>0</v>
      </c>
      <c r="Y9" s="7">
        <f>+'4.1. Samtryggingard.'!AD72+'5.1. Séreignard.'!AI73+'5.1. Séreignard.'!AJ73+'5.1. Séreignard.'!AK73+'5.1. Séreignard.'!AL73</f>
        <v>0</v>
      </c>
      <c r="Z9" s="7">
        <f>+'4.1. Samtryggingard.'!AE72</f>
        <v>0</v>
      </c>
      <c r="AA9" s="7">
        <f>+'4.1. Samtryggingard.'!AF72</f>
        <v>0</v>
      </c>
      <c r="AB9" s="7">
        <f>+'4.1. Samtryggingard.'!AG72</f>
        <v>11410</v>
      </c>
      <c r="AC9" s="7">
        <f>+'4.1. Samtryggingard.'!AH72</f>
        <v>0</v>
      </c>
      <c r="AD9" s="7">
        <f>+'4.1. Samtryggingard.'!AI72+'4.1. Samtryggingard.'!AJ72</f>
        <v>0</v>
      </c>
      <c r="AE9" s="7">
        <f>+'4.1. Samtryggingard.'!AK72+'5.1. Séreignard.'!AM73</f>
        <v>12169</v>
      </c>
      <c r="AF9" s="7">
        <f>+'4.1. Samtryggingard.'!AL72</f>
        <v>0</v>
      </c>
      <c r="AG9" s="7">
        <f>+'4.1. Samtryggingard.'!AM72</f>
        <v>0</v>
      </c>
      <c r="AH9" s="7">
        <f>+'4.1. Samtryggingard.'!AN72+'5.1. Séreignard.'!AN73</f>
        <v>0</v>
      </c>
      <c r="AI9" s="7">
        <f>+'4.1. Samtryggingard.'!AO72</f>
        <v>0</v>
      </c>
      <c r="AJ9" s="7">
        <f>+'4.1. Samtryggingard.'!AP72</f>
        <v>0</v>
      </c>
      <c r="AK9" s="7">
        <f>+'4.1. Samtryggingard.'!AQ72</f>
        <v>0</v>
      </c>
      <c r="AL9" s="7">
        <f>+'4.1. Samtryggingard.'!AR72</f>
        <v>0</v>
      </c>
      <c r="AM9" s="7">
        <f>+'4.1. Samtryggingard.'!AS72</f>
        <v>0</v>
      </c>
      <c r="AN9" s="7">
        <f>+'4.1. Samtryggingard.'!AT72</f>
        <v>0</v>
      </c>
      <c r="AO9" s="7">
        <f>+'4.1. Samtryggingard.'!AU72</f>
        <v>0</v>
      </c>
      <c r="AP9" s="7">
        <f>+'4.1. Samtryggingard.'!AV72</f>
        <v>0</v>
      </c>
      <c r="AQ9" s="7">
        <f>+'4.1. Samtryggingard.'!AW72</f>
        <v>0</v>
      </c>
      <c r="AR9" s="7">
        <f>+'4.1. Samtryggingard.'!AX72</f>
        <v>0</v>
      </c>
      <c r="AS9" s="7">
        <f>+'4.1. Samtryggingard.'!AY72</f>
        <v>0</v>
      </c>
      <c r="AT9" s="7">
        <f>+'4.1. Samtryggingard.'!AZ72</f>
        <v>0</v>
      </c>
      <c r="AU9" s="7">
        <f>+'4.1. Samtryggingard.'!BA72</f>
        <v>0</v>
      </c>
      <c r="AV9" s="7">
        <f>+'4.1. Samtryggingard.'!BB72</f>
        <v>0</v>
      </c>
      <c r="AW9" s="7">
        <f>+'4.1. Samtryggingard.'!BC72</f>
        <v>0</v>
      </c>
      <c r="AY9" s="7">
        <f aca="true" t="shared" si="0" ref="AY9:AY14">SUM(B9:AW9)</f>
        <v>1258122</v>
      </c>
      <c r="AZ9" s="7"/>
    </row>
    <row r="10" spans="1:52" ht="12.75">
      <c r="A10" s="10" t="s">
        <v>228</v>
      </c>
      <c r="B10" s="8">
        <f>+'4.1. Samtryggingard.'!B73+'4.1. Samtryggingard.'!C73+'5.1. Séreignard.'!B74+'5.1. Séreignard.'!C74+'5.1. Séreignard.'!D74</f>
        <v>0</v>
      </c>
      <c r="C10" s="8">
        <f>+'4.1. Samtryggingard.'!D73+'5.1. Séreignard.'!E74</f>
        <v>0</v>
      </c>
      <c r="D10" s="7">
        <f>+'4.1. Samtryggingard.'!E73+'5.1. Séreignard.'!F74+'5.1. Séreignard.'!G74</f>
        <v>28392</v>
      </c>
      <c r="E10" s="7">
        <f>+'4.1. Samtryggingard.'!F73+'5.1. Séreignard.'!H74+'5.1. Séreignard.'!I74+'5.1. Séreignard.'!J74</f>
        <v>0</v>
      </c>
      <c r="F10" s="7">
        <f>+'4.1. Samtryggingard.'!G73+'4.1. Samtryggingard.'!H73+'5.1. Séreignard.'!K74+'5.1. Séreignard.'!L74</f>
        <v>0</v>
      </c>
      <c r="G10" s="7">
        <f>+'4.1. Samtryggingard.'!I73+'5.1. Séreignard.'!M74+'5.1. Séreignard.'!N74</f>
        <v>0</v>
      </c>
      <c r="H10" s="7">
        <f>+'4.1. Samtryggingard.'!J73+'5.1. Séreignard.'!O74+'5.1. Séreignard.'!P74+'5.1. Séreignard.'!Q74</f>
        <v>0</v>
      </c>
      <c r="I10" s="7">
        <f>+'4.1. Samtryggingard.'!K73+'5.1. Séreignard.'!R74</f>
        <v>0</v>
      </c>
      <c r="J10" s="7">
        <f>+'4.1. Samtryggingard.'!L73+'5.1. Séreignard.'!S74+'5.1. Séreignard.'!T74+'5.1. Séreignard.'!U74+'5.1. Séreignard.'!V74</f>
        <v>0</v>
      </c>
      <c r="K10" s="7">
        <f>+'4.1. Samtryggingard.'!M73+'5.1. Séreignard.'!W74+'5.1. Séreignard.'!X74</f>
        <v>0</v>
      </c>
      <c r="L10" s="7">
        <f>+'4.1. Samtryggingard.'!N73+'4.1. Samtryggingard.'!O73</f>
        <v>0</v>
      </c>
      <c r="M10" s="7">
        <f>+'4.1. Samtryggingard.'!P73+'4.1. Samtryggingard.'!Q73+'5.1. Séreignard.'!Y74</f>
        <v>0</v>
      </c>
      <c r="N10" s="7">
        <f>+'4.1. Samtryggingard.'!R73</f>
        <v>0</v>
      </c>
      <c r="O10" s="7">
        <f>+'4.1. Samtryggingard.'!S73+'5.1. Séreignard.'!Z74</f>
        <v>0</v>
      </c>
      <c r="P10" s="7">
        <f>+'4.1. Samtryggingard.'!T73+'5.1. Séreignard.'!AA74</f>
        <v>0</v>
      </c>
      <c r="Q10" s="7">
        <f>+'4.1. Samtryggingard.'!U73+'5.1. Séreignard.'!AB74</f>
        <v>0</v>
      </c>
      <c r="R10" s="7">
        <f>+'4.1. Samtryggingard.'!V73</f>
        <v>0</v>
      </c>
      <c r="S10" s="7">
        <f>+'4.1. Samtryggingard.'!W73</f>
        <v>0</v>
      </c>
      <c r="T10" s="7">
        <f>+'4.1. Samtryggingard.'!X73+'5.1. Séreignard.'!AC74+'5.1. Séreignard.'!AD74</f>
        <v>0</v>
      </c>
      <c r="U10" s="7">
        <f>+'4.1. Samtryggingard.'!Y73</f>
        <v>0</v>
      </c>
      <c r="V10" s="7">
        <f>+'4.1. Samtryggingard.'!Z73+'4.1. Samtryggingard.'!AA73+'5.1. Séreignard.'!AE74+'5.1. Séreignard.'!AF74+'5.1. Séreignard.'!AG74</f>
        <v>0</v>
      </c>
      <c r="W10" s="7">
        <f>+'4.1. Samtryggingard.'!AB73+'5.1. Séreignard.'!AH74</f>
        <v>0</v>
      </c>
      <c r="X10" s="7">
        <f>+'4.1. Samtryggingard.'!AC73</f>
        <v>0</v>
      </c>
      <c r="Y10" s="7">
        <f>+'4.1. Samtryggingard.'!AD73+'5.1. Séreignard.'!AI74+'5.1. Séreignard.'!AJ74+'5.1. Séreignard.'!AK74+'5.1. Séreignard.'!AL74</f>
        <v>0</v>
      </c>
      <c r="Z10" s="7">
        <f>+'4.1. Samtryggingard.'!AE73</f>
        <v>0</v>
      </c>
      <c r="AA10" s="7">
        <f>+'4.1. Samtryggingard.'!AF73</f>
        <v>0</v>
      </c>
      <c r="AB10" s="7">
        <f>+'4.1. Samtryggingard.'!AG73</f>
        <v>0</v>
      </c>
      <c r="AC10" s="7">
        <f>+'4.1. Samtryggingard.'!AH73</f>
        <v>0</v>
      </c>
      <c r="AD10" s="7">
        <f>+'4.1. Samtryggingard.'!AI73+'4.1. Samtryggingard.'!AJ73</f>
        <v>0</v>
      </c>
      <c r="AE10" s="7">
        <f>+'4.1. Samtryggingard.'!AK73+'5.1. Séreignard.'!AM74</f>
        <v>0</v>
      </c>
      <c r="AF10" s="7">
        <f>+'4.1. Samtryggingard.'!AL73</f>
        <v>0</v>
      </c>
      <c r="AG10" s="7">
        <f>+'4.1. Samtryggingard.'!AM73</f>
        <v>0</v>
      </c>
      <c r="AH10" s="7">
        <f>+'4.1. Samtryggingard.'!AN73+'5.1. Séreignard.'!AN74</f>
        <v>0</v>
      </c>
      <c r="AI10" s="7">
        <f>+'4.1. Samtryggingard.'!AO73</f>
        <v>0</v>
      </c>
      <c r="AJ10" s="7">
        <f>+'4.1. Samtryggingard.'!AP73</f>
        <v>0</v>
      </c>
      <c r="AK10" s="7">
        <f>+'4.1. Samtryggingard.'!AQ73</f>
        <v>0</v>
      </c>
      <c r="AL10" s="7">
        <f>+'4.1. Samtryggingard.'!AR73</f>
        <v>0</v>
      </c>
      <c r="AM10" s="7">
        <f>+'4.1. Samtryggingard.'!AS73</f>
        <v>0</v>
      </c>
      <c r="AN10" s="7">
        <f>+'4.1. Samtryggingard.'!AT73</f>
        <v>0</v>
      </c>
      <c r="AO10" s="7">
        <f>+'4.1. Samtryggingard.'!AU73</f>
        <v>0</v>
      </c>
      <c r="AP10" s="7">
        <f>+'4.1. Samtryggingard.'!AV73</f>
        <v>0</v>
      </c>
      <c r="AQ10" s="7">
        <f>+'4.1. Samtryggingard.'!AW73</f>
        <v>0</v>
      </c>
      <c r="AR10" s="7">
        <f>+'4.1. Samtryggingard.'!AX73</f>
        <v>0</v>
      </c>
      <c r="AS10" s="7">
        <f>+'4.1. Samtryggingard.'!AY73</f>
        <v>0</v>
      </c>
      <c r="AT10" s="7">
        <f>+'4.1. Samtryggingard.'!AZ73</f>
        <v>0</v>
      </c>
      <c r="AU10" s="7">
        <f>+'4.1. Samtryggingard.'!BA73</f>
        <v>0</v>
      </c>
      <c r="AV10" s="7">
        <f>+'4.1. Samtryggingard.'!BB73</f>
        <v>0</v>
      </c>
      <c r="AW10" s="7">
        <f>+'4.1. Samtryggingard.'!BC73</f>
        <v>0</v>
      </c>
      <c r="AY10" s="7">
        <f t="shared" si="0"/>
        <v>28392</v>
      </c>
      <c r="AZ10" s="7"/>
    </row>
    <row r="11" spans="1:52" ht="12.75">
      <c r="A11" s="10" t="s">
        <v>229</v>
      </c>
      <c r="B11" s="8">
        <f>+'4.1. Samtryggingard.'!B74+'4.1. Samtryggingard.'!C74+'5.1. Séreignard.'!B75+'5.1. Séreignard.'!C75+'5.1. Séreignard.'!D75</f>
        <v>0</v>
      </c>
      <c r="C11" s="8">
        <f>+'4.1. Samtryggingard.'!D74+'5.1. Séreignard.'!E75</f>
        <v>0</v>
      </c>
      <c r="D11" s="7">
        <f>+'4.1. Samtryggingard.'!E74+'5.1. Séreignard.'!F75+'5.1. Séreignard.'!G75</f>
        <v>0</v>
      </c>
      <c r="E11" s="7">
        <f>+'4.1. Samtryggingard.'!F74+'5.1. Séreignard.'!H75+'5.1. Séreignard.'!I75+'5.1. Séreignard.'!J75</f>
        <v>0</v>
      </c>
      <c r="F11" s="7">
        <f>+'4.1. Samtryggingard.'!G74+'4.1. Samtryggingard.'!H74+'5.1. Séreignard.'!K75+'5.1. Séreignard.'!L75</f>
        <v>0</v>
      </c>
      <c r="G11" s="7">
        <f>+'4.1. Samtryggingard.'!I74+'5.1. Séreignard.'!M75+'5.1. Séreignard.'!N75</f>
        <v>0</v>
      </c>
      <c r="H11" s="7">
        <f>+'4.1. Samtryggingard.'!J74+'5.1. Séreignard.'!O75+'5.1. Séreignard.'!P75+'5.1. Séreignard.'!Q75</f>
        <v>0</v>
      </c>
      <c r="I11" s="7">
        <f>+'4.1. Samtryggingard.'!K74+'5.1. Séreignard.'!R75</f>
        <v>0</v>
      </c>
      <c r="J11" s="7">
        <f>+'4.1. Samtryggingard.'!L74+'5.1. Séreignard.'!S75+'5.1. Séreignard.'!T75+'5.1. Séreignard.'!U75+'5.1. Séreignard.'!V75</f>
        <v>0</v>
      </c>
      <c r="K11" s="7">
        <f>+'4.1. Samtryggingard.'!M74+'5.1. Séreignard.'!W75+'5.1. Séreignard.'!X75</f>
        <v>0</v>
      </c>
      <c r="L11" s="7">
        <f>+'4.1. Samtryggingard.'!N74+'4.1. Samtryggingard.'!O74</f>
        <v>0</v>
      </c>
      <c r="M11" s="7">
        <f>+'4.1. Samtryggingard.'!P74+'4.1. Samtryggingard.'!Q74+'5.1. Séreignard.'!Y75</f>
        <v>0</v>
      </c>
      <c r="N11" s="7">
        <f>+'4.1. Samtryggingard.'!R74</f>
        <v>0</v>
      </c>
      <c r="O11" s="7">
        <f>+'4.1. Samtryggingard.'!S74+'5.1. Séreignard.'!Z75</f>
        <v>0</v>
      </c>
      <c r="P11" s="7">
        <f>+'4.1. Samtryggingard.'!T74+'5.1. Séreignard.'!AA75</f>
        <v>0</v>
      </c>
      <c r="Q11" s="7">
        <f>+'4.1. Samtryggingard.'!U74+'5.1. Séreignard.'!AB75</f>
        <v>0</v>
      </c>
      <c r="R11" s="7">
        <f>+'4.1. Samtryggingard.'!V74</f>
        <v>0</v>
      </c>
      <c r="S11" s="7">
        <f>+'4.1. Samtryggingard.'!W74</f>
        <v>0</v>
      </c>
      <c r="T11" s="7">
        <f>+'4.1. Samtryggingard.'!X74+'5.1. Séreignard.'!AC75+'5.1. Séreignard.'!AD75</f>
        <v>0</v>
      </c>
      <c r="U11" s="7">
        <f>+'4.1. Samtryggingard.'!Y74</f>
        <v>0</v>
      </c>
      <c r="V11" s="7">
        <f>+'4.1. Samtryggingard.'!Z74+'4.1. Samtryggingard.'!AA74+'5.1. Séreignard.'!AE75+'5.1. Séreignard.'!AF75+'5.1. Séreignard.'!AG75</f>
        <v>0</v>
      </c>
      <c r="W11" s="7">
        <f>+'4.1. Samtryggingard.'!AB74+'5.1. Séreignard.'!AH75</f>
        <v>0</v>
      </c>
      <c r="X11" s="7">
        <f>+'4.1. Samtryggingard.'!AC74</f>
        <v>0</v>
      </c>
      <c r="Y11" s="7">
        <f>+'4.1. Samtryggingard.'!AD74+'5.1. Séreignard.'!AI75+'5.1. Séreignard.'!AJ75+'5.1. Séreignard.'!AK75+'5.1. Séreignard.'!AL75</f>
        <v>0</v>
      </c>
      <c r="Z11" s="7">
        <f>+'4.1. Samtryggingard.'!AE74</f>
        <v>0</v>
      </c>
      <c r="AA11" s="7">
        <f>+'4.1. Samtryggingard.'!AF74</f>
        <v>0</v>
      </c>
      <c r="AB11" s="7">
        <f>+'4.1. Samtryggingard.'!AG74</f>
        <v>0</v>
      </c>
      <c r="AC11" s="7">
        <f>+'4.1. Samtryggingard.'!AH74</f>
        <v>0</v>
      </c>
      <c r="AD11" s="7">
        <f>+'4.1. Samtryggingard.'!AI74+'4.1. Samtryggingard.'!AJ74</f>
        <v>0</v>
      </c>
      <c r="AE11" s="7">
        <f>+'4.1. Samtryggingard.'!AK74+'5.1. Séreignard.'!AM75</f>
        <v>0</v>
      </c>
      <c r="AF11" s="7">
        <f>+'4.1. Samtryggingard.'!AL74</f>
        <v>0</v>
      </c>
      <c r="AG11" s="7">
        <f>+'4.1. Samtryggingard.'!AM74</f>
        <v>0</v>
      </c>
      <c r="AH11" s="7">
        <f>+'4.1. Samtryggingard.'!AN74+'5.1. Séreignard.'!AN75</f>
        <v>0</v>
      </c>
      <c r="AI11" s="7">
        <f>+'4.1. Samtryggingard.'!AO74</f>
        <v>0</v>
      </c>
      <c r="AJ11" s="7">
        <f>+'4.1. Samtryggingard.'!AP74</f>
        <v>0</v>
      </c>
      <c r="AK11" s="7">
        <f>+'4.1. Samtryggingard.'!AQ74</f>
        <v>0</v>
      </c>
      <c r="AL11" s="7">
        <f>+'4.1. Samtryggingard.'!AR74</f>
        <v>0</v>
      </c>
      <c r="AM11" s="7">
        <f>+'4.1. Samtryggingard.'!AS74</f>
        <v>0</v>
      </c>
      <c r="AN11" s="7">
        <f>+'4.1. Samtryggingard.'!AT74</f>
        <v>0</v>
      </c>
      <c r="AO11" s="7">
        <f>+'4.1. Samtryggingard.'!AU74</f>
        <v>0</v>
      </c>
      <c r="AP11" s="7">
        <f>+'4.1. Samtryggingard.'!AV74</f>
        <v>0</v>
      </c>
      <c r="AQ11" s="7">
        <f>+'4.1. Samtryggingard.'!AW74</f>
        <v>0</v>
      </c>
      <c r="AR11" s="7">
        <f>+'4.1. Samtryggingard.'!AX74</f>
        <v>0</v>
      </c>
      <c r="AS11" s="7">
        <f>+'4.1. Samtryggingard.'!AY74</f>
        <v>0</v>
      </c>
      <c r="AT11" s="7">
        <f>+'4.1. Samtryggingard.'!AZ74</f>
        <v>0</v>
      </c>
      <c r="AU11" s="7">
        <f>+'4.1. Samtryggingard.'!BA74</f>
        <v>0</v>
      </c>
      <c r="AV11" s="7">
        <f>+'4.1. Samtryggingard.'!BB74</f>
        <v>0</v>
      </c>
      <c r="AW11" s="7">
        <f>+'4.1. Samtryggingard.'!BC74</f>
        <v>0</v>
      </c>
      <c r="AY11" s="7">
        <f t="shared" si="0"/>
        <v>0</v>
      </c>
      <c r="AZ11" s="7"/>
    </row>
    <row r="12" spans="1:52" ht="12.75">
      <c r="A12" s="10" t="s">
        <v>230</v>
      </c>
      <c r="B12" s="8">
        <f>+'4.1. Samtryggingard.'!B75+'4.1. Samtryggingard.'!C75+'5.1. Séreignard.'!B76+'5.1. Séreignard.'!C76+'5.1. Séreignard.'!D76</f>
        <v>0</v>
      </c>
      <c r="C12" s="8">
        <f>+'4.1. Samtryggingard.'!D75+'5.1. Séreignard.'!E76</f>
        <v>0</v>
      </c>
      <c r="D12" s="7">
        <f>+'4.1. Samtryggingard.'!E75+'5.1. Séreignard.'!F76+'5.1. Séreignard.'!G76</f>
        <v>0</v>
      </c>
      <c r="E12" s="7">
        <f>+'4.1. Samtryggingard.'!F75+'5.1. Séreignard.'!H76+'5.1. Séreignard.'!I76+'5.1. Séreignard.'!J76</f>
        <v>0</v>
      </c>
      <c r="F12" s="7">
        <f>+'4.1. Samtryggingard.'!G75+'4.1. Samtryggingard.'!H75+'5.1. Séreignard.'!K76+'5.1. Séreignard.'!L76</f>
        <v>0</v>
      </c>
      <c r="G12" s="7">
        <f>+'4.1. Samtryggingard.'!I75+'5.1. Séreignard.'!M76+'5.1. Séreignard.'!N76</f>
        <v>0</v>
      </c>
      <c r="H12" s="7">
        <f>+'4.1. Samtryggingard.'!J75+'5.1. Séreignard.'!O76+'5.1. Séreignard.'!P76+'5.1. Séreignard.'!Q76</f>
        <v>0</v>
      </c>
      <c r="I12" s="7">
        <f>+'4.1. Samtryggingard.'!K75+'5.1. Séreignard.'!R76</f>
        <v>0</v>
      </c>
      <c r="J12" s="7">
        <f>+'4.1. Samtryggingard.'!L75+'5.1. Séreignard.'!S76+'5.1. Séreignard.'!T76+'5.1. Séreignard.'!U76+'5.1. Séreignard.'!V76</f>
        <v>0</v>
      </c>
      <c r="K12" s="7">
        <f>+'4.1. Samtryggingard.'!M75+'5.1. Séreignard.'!W76+'5.1. Séreignard.'!X76</f>
        <v>0</v>
      </c>
      <c r="L12" s="7">
        <f>+'4.1. Samtryggingard.'!N75+'4.1. Samtryggingard.'!O75</f>
        <v>0</v>
      </c>
      <c r="M12" s="7">
        <f>+'4.1. Samtryggingard.'!P75+'4.1. Samtryggingard.'!Q75+'5.1. Séreignard.'!Y76</f>
        <v>0</v>
      </c>
      <c r="N12" s="7">
        <f>+'4.1. Samtryggingard.'!R75</f>
        <v>0</v>
      </c>
      <c r="O12" s="7">
        <f>+'4.1. Samtryggingard.'!S75+'5.1. Séreignard.'!Z76</f>
        <v>0</v>
      </c>
      <c r="P12" s="7">
        <f>+'4.1. Samtryggingard.'!T75+'5.1. Séreignard.'!AA76</f>
        <v>0</v>
      </c>
      <c r="Q12" s="7">
        <f>+'4.1. Samtryggingard.'!U75+'5.1. Séreignard.'!AB76</f>
        <v>0</v>
      </c>
      <c r="R12" s="7">
        <f>+'4.1. Samtryggingard.'!V75</f>
        <v>0</v>
      </c>
      <c r="S12" s="7">
        <f>+'4.1. Samtryggingard.'!W75</f>
        <v>0</v>
      </c>
      <c r="T12" s="7">
        <f>+'4.1. Samtryggingard.'!X75+'5.1. Séreignard.'!AC76+'5.1. Séreignard.'!AD76</f>
        <v>0</v>
      </c>
      <c r="U12" s="7">
        <f>+'4.1. Samtryggingard.'!Y75</f>
        <v>0</v>
      </c>
      <c r="V12" s="7">
        <f>+'4.1. Samtryggingard.'!Z75+'4.1. Samtryggingard.'!AA75+'5.1. Séreignard.'!AE76+'5.1. Séreignard.'!AF76+'5.1. Séreignard.'!AG76</f>
        <v>0</v>
      </c>
      <c r="W12" s="7">
        <f>+'4.1. Samtryggingard.'!AB75+'5.1. Séreignard.'!AH76</f>
        <v>0</v>
      </c>
      <c r="X12" s="7">
        <f>+'4.1. Samtryggingard.'!AC75</f>
        <v>0</v>
      </c>
      <c r="Y12" s="7">
        <f>+'4.1. Samtryggingard.'!AD75+'5.1. Séreignard.'!AI76+'5.1. Séreignard.'!AJ76+'5.1. Séreignard.'!AK76+'5.1. Séreignard.'!AL76</f>
        <v>0</v>
      </c>
      <c r="Z12" s="7">
        <f>+'4.1. Samtryggingard.'!AE75</f>
        <v>0</v>
      </c>
      <c r="AA12" s="7">
        <f>+'4.1. Samtryggingard.'!AF75</f>
        <v>0</v>
      </c>
      <c r="AB12" s="7">
        <f>+'4.1. Samtryggingard.'!AG75</f>
        <v>0</v>
      </c>
      <c r="AC12" s="7">
        <f>+'4.1. Samtryggingard.'!AH75</f>
        <v>0</v>
      </c>
      <c r="AD12" s="7">
        <f>+'4.1. Samtryggingard.'!AI75+'4.1. Samtryggingard.'!AJ75</f>
        <v>0</v>
      </c>
      <c r="AE12" s="7">
        <f>+'4.1. Samtryggingard.'!AK75+'5.1. Séreignard.'!AM76</f>
        <v>0</v>
      </c>
      <c r="AF12" s="7">
        <f>+'4.1. Samtryggingard.'!AL75</f>
        <v>0</v>
      </c>
      <c r="AG12" s="7">
        <f>+'4.1. Samtryggingard.'!AM75</f>
        <v>0</v>
      </c>
      <c r="AH12" s="7">
        <f>+'4.1. Samtryggingard.'!AN75+'5.1. Séreignard.'!AN76</f>
        <v>0</v>
      </c>
      <c r="AI12" s="7">
        <f>+'4.1. Samtryggingard.'!AO75</f>
        <v>0</v>
      </c>
      <c r="AJ12" s="7">
        <f>+'4.1. Samtryggingard.'!AP75</f>
        <v>0</v>
      </c>
      <c r="AK12" s="7">
        <f>+'4.1. Samtryggingard.'!AQ75</f>
        <v>0</v>
      </c>
      <c r="AL12" s="7">
        <f>+'4.1. Samtryggingard.'!AR75</f>
        <v>0</v>
      </c>
      <c r="AM12" s="7">
        <f>+'4.1. Samtryggingard.'!AS75</f>
        <v>0</v>
      </c>
      <c r="AN12" s="7">
        <f>+'4.1. Samtryggingard.'!AT75</f>
        <v>0</v>
      </c>
      <c r="AO12" s="7">
        <f>+'4.1. Samtryggingard.'!AU75</f>
        <v>0</v>
      </c>
      <c r="AP12" s="7">
        <f>+'4.1. Samtryggingard.'!AV75</f>
        <v>0</v>
      </c>
      <c r="AQ12" s="7">
        <f>+'4.1. Samtryggingard.'!AW75</f>
        <v>0</v>
      </c>
      <c r="AR12" s="7">
        <f>+'4.1. Samtryggingard.'!AX75</f>
        <v>0</v>
      </c>
      <c r="AS12" s="7">
        <f>+'4.1. Samtryggingard.'!AY75</f>
        <v>0</v>
      </c>
      <c r="AT12" s="7">
        <f>+'4.1. Samtryggingard.'!AZ75</f>
        <v>0</v>
      </c>
      <c r="AU12" s="7">
        <f>+'4.1. Samtryggingard.'!BA75</f>
        <v>0</v>
      </c>
      <c r="AV12" s="7">
        <f>+'4.1. Samtryggingard.'!BB75</f>
        <v>0</v>
      </c>
      <c r="AW12" s="7">
        <f>+'4.1. Samtryggingard.'!BC75</f>
        <v>0</v>
      </c>
      <c r="AY12" s="7">
        <f t="shared" si="0"/>
        <v>0</v>
      </c>
      <c r="AZ12" s="7"/>
    </row>
    <row r="13" spans="1:52" ht="12.75">
      <c r="A13" s="10" t="s">
        <v>231</v>
      </c>
      <c r="B13" s="8">
        <f>+'4.1. Samtryggingard.'!B76+'4.1. Samtryggingard.'!C76+'5.1. Séreignard.'!B77+'5.1. Séreignard.'!C77+'5.1. Séreignard.'!D77</f>
        <v>0</v>
      </c>
      <c r="C13" s="8">
        <f>+'4.1. Samtryggingard.'!D76+'5.1. Séreignard.'!E77</f>
        <v>0</v>
      </c>
      <c r="D13" s="7">
        <f>+'4.1. Samtryggingard.'!E76+'5.1. Séreignard.'!F77+'5.1. Séreignard.'!G77</f>
        <v>0</v>
      </c>
      <c r="E13" s="7">
        <f>+'4.1. Samtryggingard.'!F76+'5.1. Séreignard.'!H77+'5.1. Séreignard.'!I77+'5.1. Séreignard.'!J77</f>
        <v>0</v>
      </c>
      <c r="F13" s="7">
        <f>+'4.1. Samtryggingard.'!G76+'4.1. Samtryggingard.'!H76+'5.1. Séreignard.'!K77+'5.1. Séreignard.'!L77</f>
        <v>0</v>
      </c>
      <c r="G13" s="7">
        <f>+'4.1. Samtryggingard.'!I76+'5.1. Séreignard.'!M77+'5.1. Séreignard.'!N77</f>
        <v>0</v>
      </c>
      <c r="H13" s="7">
        <f>+'4.1. Samtryggingard.'!J76+'5.1. Séreignard.'!O77+'5.1. Séreignard.'!P77+'5.1. Séreignard.'!Q77</f>
        <v>0</v>
      </c>
      <c r="I13" s="7">
        <f>+'4.1. Samtryggingard.'!K76+'5.1. Séreignard.'!R77</f>
        <v>0</v>
      </c>
      <c r="J13" s="7">
        <f>+'4.1. Samtryggingard.'!L76+'5.1. Séreignard.'!S77+'5.1. Séreignard.'!T77+'5.1. Séreignard.'!U77+'5.1. Séreignard.'!V77</f>
        <v>0</v>
      </c>
      <c r="K13" s="7">
        <f>+'4.1. Samtryggingard.'!M76+'5.1. Séreignard.'!W77+'5.1. Séreignard.'!X77</f>
        <v>0</v>
      </c>
      <c r="L13" s="7">
        <f>+'4.1. Samtryggingard.'!N76+'4.1. Samtryggingard.'!O76</f>
        <v>0</v>
      </c>
      <c r="M13" s="7">
        <f>+'4.1. Samtryggingard.'!P76+'4.1. Samtryggingard.'!Q76+'5.1. Séreignard.'!Y77</f>
        <v>0</v>
      </c>
      <c r="N13" s="7">
        <f>+'4.1. Samtryggingard.'!R76</f>
        <v>0</v>
      </c>
      <c r="O13" s="7">
        <f>+'4.1. Samtryggingard.'!S76+'5.1. Séreignard.'!Z77</f>
        <v>33373</v>
      </c>
      <c r="P13" s="7">
        <f>+'4.1. Samtryggingard.'!T76+'5.1. Séreignard.'!AA77</f>
        <v>0</v>
      </c>
      <c r="Q13" s="7">
        <f>+'4.1. Samtryggingard.'!U76+'5.1. Séreignard.'!AB77</f>
        <v>0</v>
      </c>
      <c r="R13" s="7">
        <f>+'4.1. Samtryggingard.'!V76</f>
        <v>0</v>
      </c>
      <c r="S13" s="7">
        <f>+'4.1. Samtryggingard.'!W76</f>
        <v>0</v>
      </c>
      <c r="T13" s="7">
        <f>+'4.1. Samtryggingard.'!X76+'5.1. Séreignard.'!AC77+'5.1. Séreignard.'!AD77</f>
        <v>28392</v>
      </c>
      <c r="U13" s="7">
        <f>+'4.1. Samtryggingard.'!Y76</f>
        <v>0</v>
      </c>
      <c r="V13" s="7">
        <f>+'4.1. Samtryggingard.'!Z76+'4.1. Samtryggingard.'!AA76+'5.1. Séreignard.'!AE77+'5.1. Séreignard.'!AF77+'5.1. Séreignard.'!AG77</f>
        <v>0</v>
      </c>
      <c r="W13" s="7">
        <f>+'4.1. Samtryggingard.'!AB76+'5.1. Séreignard.'!AH77</f>
        <v>0</v>
      </c>
      <c r="X13" s="7">
        <f>+'4.1. Samtryggingard.'!AC76</f>
        <v>0</v>
      </c>
      <c r="Y13" s="7">
        <f>+'4.1. Samtryggingard.'!AD76+'5.1. Séreignard.'!AI77+'5.1. Séreignard.'!AJ77+'5.1. Séreignard.'!AK77+'5.1. Séreignard.'!AL77</f>
        <v>0</v>
      </c>
      <c r="Z13" s="7">
        <f>+'4.1. Samtryggingard.'!AE76</f>
        <v>0</v>
      </c>
      <c r="AA13" s="7">
        <f>+'4.1. Samtryggingard.'!AF76</f>
        <v>0</v>
      </c>
      <c r="AB13" s="7">
        <f>+'4.1. Samtryggingard.'!AG76</f>
        <v>0</v>
      </c>
      <c r="AC13" s="7">
        <f>+'4.1. Samtryggingard.'!AH76</f>
        <v>0</v>
      </c>
      <c r="AD13" s="7">
        <f>+'4.1. Samtryggingard.'!AI76+'4.1. Samtryggingard.'!AJ76</f>
        <v>0</v>
      </c>
      <c r="AE13" s="7">
        <f>+'4.1. Samtryggingard.'!AK76+'5.1. Séreignard.'!AM77</f>
        <v>0</v>
      </c>
      <c r="AF13" s="7">
        <f>+'4.1. Samtryggingard.'!AL76</f>
        <v>0</v>
      </c>
      <c r="AG13" s="7">
        <f>+'4.1. Samtryggingard.'!AM76</f>
        <v>0</v>
      </c>
      <c r="AH13" s="7">
        <f>+'4.1. Samtryggingard.'!AN76+'5.1. Séreignard.'!AN77</f>
        <v>0</v>
      </c>
      <c r="AI13" s="7">
        <f>+'4.1. Samtryggingard.'!AO76</f>
        <v>0</v>
      </c>
      <c r="AJ13" s="7">
        <f>+'4.1. Samtryggingard.'!AP76</f>
        <v>0</v>
      </c>
      <c r="AK13" s="7">
        <f>+'4.1. Samtryggingard.'!AQ76</f>
        <v>0</v>
      </c>
      <c r="AL13" s="7">
        <f>+'4.1. Samtryggingard.'!AR76</f>
        <v>0</v>
      </c>
      <c r="AM13" s="7">
        <f>+'4.1. Samtryggingard.'!AS76</f>
        <v>0</v>
      </c>
      <c r="AN13" s="7">
        <f>+'4.1. Samtryggingard.'!AT76</f>
        <v>0</v>
      </c>
      <c r="AO13" s="7">
        <f>+'4.1. Samtryggingard.'!AU76</f>
        <v>0</v>
      </c>
      <c r="AP13" s="7">
        <f>+'4.1. Samtryggingard.'!AV76</f>
        <v>0</v>
      </c>
      <c r="AQ13" s="7">
        <f>+'4.1. Samtryggingard.'!AW76</f>
        <v>0</v>
      </c>
      <c r="AR13" s="7">
        <f>+'4.1. Samtryggingard.'!AX76</f>
        <v>0</v>
      </c>
      <c r="AS13" s="7">
        <f>+'4.1. Samtryggingard.'!AY76</f>
        <v>0</v>
      </c>
      <c r="AT13" s="7">
        <f>+'4.1. Samtryggingard.'!AZ76</f>
        <v>0</v>
      </c>
      <c r="AU13" s="7">
        <f>+'4.1. Samtryggingard.'!BA76</f>
        <v>0</v>
      </c>
      <c r="AV13" s="7">
        <f>+'4.1. Samtryggingard.'!BB76</f>
        <v>0</v>
      </c>
      <c r="AW13" s="7">
        <f>+'4.1. Samtryggingard.'!BC76</f>
        <v>0</v>
      </c>
      <c r="AY13" s="7">
        <f t="shared" si="0"/>
        <v>61765</v>
      </c>
      <c r="AZ13" s="7"/>
    </row>
    <row r="14" spans="1:52" ht="12.75">
      <c r="A14" s="10" t="s">
        <v>232</v>
      </c>
      <c r="B14" s="8">
        <f>+'4.1. Samtryggingard.'!B77+'4.1. Samtryggingard.'!C77+'5.1. Séreignard.'!B78+'5.1. Séreignard.'!C78+'5.1. Séreignard.'!D78</f>
        <v>0</v>
      </c>
      <c r="C14" s="8">
        <f>+'4.1. Samtryggingard.'!D77+'5.1. Séreignard.'!E78</f>
        <v>0</v>
      </c>
      <c r="D14" s="7">
        <f>+'4.1. Samtryggingard.'!E77+'5.1. Séreignard.'!F78+'5.1. Séreignard.'!G78</f>
        <v>0</v>
      </c>
      <c r="E14" s="7">
        <f>+'4.1. Samtryggingard.'!F77+'5.1. Séreignard.'!H78+'5.1. Séreignard.'!I78+'5.1. Séreignard.'!J78</f>
        <v>0</v>
      </c>
      <c r="F14" s="7">
        <f>+'4.1. Samtryggingard.'!G77+'4.1. Samtryggingard.'!H77+'5.1. Séreignard.'!K78+'5.1. Séreignard.'!L78</f>
        <v>0</v>
      </c>
      <c r="G14" s="7">
        <f>+'4.1. Samtryggingard.'!I77+'5.1. Séreignard.'!M78+'5.1. Séreignard.'!N78</f>
        <v>0</v>
      </c>
      <c r="H14" s="7">
        <f>+'4.1. Samtryggingard.'!J77+'5.1. Séreignard.'!O78+'5.1. Séreignard.'!P78+'5.1. Séreignard.'!Q78</f>
        <v>0</v>
      </c>
      <c r="I14" s="7">
        <f>+'4.1. Samtryggingard.'!K77+'5.1. Séreignard.'!R78</f>
        <v>0</v>
      </c>
      <c r="J14" s="7">
        <f>+'4.1. Samtryggingard.'!L77+'5.1. Séreignard.'!S78+'5.1. Séreignard.'!T78+'5.1. Séreignard.'!U78+'5.1. Séreignard.'!V78</f>
        <v>0</v>
      </c>
      <c r="K14" s="7">
        <f>+'4.1. Samtryggingard.'!M77+'5.1. Séreignard.'!W78+'5.1. Séreignard.'!X78</f>
        <v>0</v>
      </c>
      <c r="L14" s="7">
        <f>+'4.1. Samtryggingard.'!N77+'4.1. Samtryggingard.'!O77</f>
        <v>0</v>
      </c>
      <c r="M14" s="7">
        <f>+'4.1. Samtryggingard.'!P77+'4.1. Samtryggingard.'!Q77+'5.1. Séreignard.'!Y78</f>
        <v>0</v>
      </c>
      <c r="N14" s="7">
        <f>+'4.1. Samtryggingard.'!R77</f>
        <v>0</v>
      </c>
      <c r="O14" s="7">
        <f>+'4.1. Samtryggingard.'!S77+'5.1. Séreignard.'!Z78</f>
        <v>0</v>
      </c>
      <c r="P14" s="7">
        <f>+'4.1. Samtryggingard.'!T77+'5.1. Séreignard.'!AA78</f>
        <v>0</v>
      </c>
      <c r="Q14" s="7">
        <f>+'4.1. Samtryggingard.'!U77+'5.1. Séreignard.'!AB78</f>
        <v>0</v>
      </c>
      <c r="R14" s="7">
        <f>+'4.1. Samtryggingard.'!V77</f>
        <v>0</v>
      </c>
      <c r="S14" s="7">
        <f>+'4.1. Samtryggingard.'!W77</f>
        <v>0</v>
      </c>
      <c r="T14" s="7">
        <f>+'4.1. Samtryggingard.'!X77+'5.1. Séreignard.'!AC78+'5.1. Séreignard.'!AD78</f>
        <v>0</v>
      </c>
      <c r="U14" s="7">
        <f>+'4.1. Samtryggingard.'!Y77</f>
        <v>0</v>
      </c>
      <c r="V14" s="7">
        <f>+'4.1. Samtryggingard.'!Z77+'4.1. Samtryggingard.'!AA77+'5.1. Séreignard.'!AE78+'5.1. Séreignard.'!AF78+'5.1. Séreignard.'!AG78</f>
        <v>0</v>
      </c>
      <c r="W14" s="7">
        <f>+'4.1. Samtryggingard.'!AB77+'5.1. Séreignard.'!AH78</f>
        <v>0</v>
      </c>
      <c r="X14" s="7">
        <f>+'4.1. Samtryggingard.'!AC77</f>
        <v>0</v>
      </c>
      <c r="Y14" s="7">
        <f>+'4.1. Samtryggingard.'!AD77+'5.1. Séreignard.'!AI78+'5.1. Séreignard.'!AJ78+'5.1. Séreignard.'!AK78+'5.1. Séreignard.'!AL78</f>
        <v>0</v>
      </c>
      <c r="Z14" s="7">
        <f>+'4.1. Samtryggingard.'!AE77</f>
        <v>0</v>
      </c>
      <c r="AA14" s="7">
        <f>+'4.1. Samtryggingard.'!AF77</f>
        <v>0</v>
      </c>
      <c r="AB14" s="7">
        <f>+'4.1. Samtryggingard.'!AG77</f>
        <v>0</v>
      </c>
      <c r="AC14" s="7">
        <f>+'4.1. Samtryggingard.'!AH77</f>
        <v>0</v>
      </c>
      <c r="AD14" s="7">
        <f>+'4.1. Samtryggingard.'!AI77+'4.1. Samtryggingard.'!AJ77</f>
        <v>0</v>
      </c>
      <c r="AE14" s="7">
        <f>+'4.1. Samtryggingard.'!AK77+'5.1. Séreignard.'!AM78</f>
        <v>0</v>
      </c>
      <c r="AF14" s="7">
        <f>+'4.1. Samtryggingard.'!AL77</f>
        <v>0</v>
      </c>
      <c r="AG14" s="7">
        <f>+'4.1. Samtryggingard.'!AM77</f>
        <v>0</v>
      </c>
      <c r="AH14" s="7">
        <f>+'4.1. Samtryggingard.'!AN77+'5.1. Séreignard.'!AN78</f>
        <v>0</v>
      </c>
      <c r="AI14" s="7">
        <f>+'4.1. Samtryggingard.'!AO77</f>
        <v>0</v>
      </c>
      <c r="AJ14" s="7">
        <f>+'4.1. Samtryggingard.'!AP77</f>
        <v>0</v>
      </c>
      <c r="AK14" s="7">
        <f>+'4.1. Samtryggingard.'!AQ77</f>
        <v>0</v>
      </c>
      <c r="AL14" s="7">
        <f>+'4.1. Samtryggingard.'!AR77</f>
        <v>0</v>
      </c>
      <c r="AM14" s="7">
        <f>+'4.1. Samtryggingard.'!AS77</f>
        <v>0</v>
      </c>
      <c r="AN14" s="7">
        <f>+'4.1. Samtryggingard.'!AT77</f>
        <v>0</v>
      </c>
      <c r="AO14" s="7">
        <f>+'4.1. Samtryggingard.'!AU77</f>
        <v>0</v>
      </c>
      <c r="AP14" s="7">
        <f>+'4.1. Samtryggingard.'!AV77</f>
        <v>0</v>
      </c>
      <c r="AQ14" s="7">
        <f>+'4.1. Samtryggingard.'!AW77</f>
        <v>0</v>
      </c>
      <c r="AR14" s="7">
        <f>+'4.1. Samtryggingard.'!AX77</f>
        <v>0</v>
      </c>
      <c r="AS14" s="7">
        <f>+'4.1. Samtryggingard.'!AY77</f>
        <v>0</v>
      </c>
      <c r="AT14" s="7">
        <f>+'4.1. Samtryggingard.'!AZ77</f>
        <v>0</v>
      </c>
      <c r="AU14" s="7">
        <f>+'4.1. Samtryggingard.'!BA77</f>
        <v>0</v>
      </c>
      <c r="AV14" s="7">
        <f>+'4.1. Samtryggingard.'!BB77</f>
        <v>0</v>
      </c>
      <c r="AW14" s="7">
        <f>+'4.1. Samtryggingard.'!BC77</f>
        <v>0</v>
      </c>
      <c r="AY14" s="7">
        <f t="shared" si="0"/>
        <v>0</v>
      </c>
      <c r="AZ14" s="7"/>
    </row>
    <row r="15" spans="1:52" ht="5.25" customHeight="1">
      <c r="A15" s="10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Y15" s="7"/>
      <c r="AZ15" s="7"/>
    </row>
    <row r="16" spans="1:52" ht="12.75">
      <c r="A16" s="13" t="s">
        <v>233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Y16" s="7"/>
      <c r="AZ16" s="7"/>
    </row>
    <row r="17" spans="1:52" ht="12.75">
      <c r="A17" s="10" t="s">
        <v>234</v>
      </c>
      <c r="B17" s="8">
        <f>+'4.1. Samtryggingard.'!B80+'4.1. Samtryggingard.'!C80+'5.1. Séreignard.'!B81+'5.1. Séreignard.'!C81+'5.1. Séreignard.'!D81</f>
        <v>72520731</v>
      </c>
      <c r="C17" s="8">
        <f>+'4.1. Samtryggingard.'!D80+'5.1. Séreignard.'!E81</f>
        <v>61792887</v>
      </c>
      <c r="D17" s="7">
        <f>+'4.1. Samtryggingard.'!E80+'5.1. Séreignard.'!F81+'5.1. Séreignard.'!G81</f>
        <v>29732588</v>
      </c>
      <c r="E17" s="7">
        <f>+'4.1. Samtryggingard.'!F80+'5.1. Séreignard.'!H81+'5.1. Séreignard.'!I81+'5.1. Séreignard.'!J81</f>
        <v>26847552</v>
      </c>
      <c r="F17" s="7">
        <f>+'4.1. Samtryggingard.'!G80+'4.1. Samtryggingard.'!H80+'5.1. Séreignard.'!K81+'5.1. Séreignard.'!L81</f>
        <v>23323841</v>
      </c>
      <c r="G17" s="7">
        <f>+'4.1. Samtryggingard.'!I80+'5.1. Séreignard.'!M81+'5.1. Séreignard.'!N81</f>
        <v>15704432.095</v>
      </c>
      <c r="H17" s="7">
        <f>+'4.1. Samtryggingard.'!J80+'5.1. Séreignard.'!O81+'5.1. Séreignard.'!P81+'5.1. Séreignard.'!Q81</f>
        <v>15305608.4</v>
      </c>
      <c r="I17" s="7">
        <f>+'4.1. Samtryggingard.'!K80+'5.1. Séreignard.'!R81</f>
        <v>11289569</v>
      </c>
      <c r="J17" s="7">
        <f>+'4.1. Samtryggingard.'!L80+'5.1. Séreignard.'!S81+'5.1. Séreignard.'!T81+'5.1. Séreignard.'!U81+'5.1. Séreignard.'!V81</f>
        <v>26117924.677</v>
      </c>
      <c r="K17" s="7">
        <f>+'4.1. Samtryggingard.'!M80+'5.1. Séreignard.'!W81+'5.1. Séreignard.'!X81</f>
        <v>7791058</v>
      </c>
      <c r="L17" s="7">
        <f>+'4.1. Samtryggingard.'!N80+'4.1. Samtryggingard.'!O80</f>
        <v>12484315</v>
      </c>
      <c r="M17" s="7">
        <f>+'4.1. Samtryggingard.'!P80+'4.1. Samtryggingard.'!Q80+'5.1. Séreignard.'!Y81</f>
        <v>8207560</v>
      </c>
      <c r="N17" s="7">
        <f>+'4.1. Samtryggingard.'!R80</f>
        <v>13293740</v>
      </c>
      <c r="O17" s="7">
        <f>+'4.1. Samtryggingard.'!S80+'5.1. Séreignard.'!Z81</f>
        <v>10975578</v>
      </c>
      <c r="P17" s="7">
        <f>+'4.1. Samtryggingard.'!T80+'5.1. Séreignard.'!AA81</f>
        <v>8291397.481</v>
      </c>
      <c r="Q17" s="7">
        <f>+'4.1. Samtryggingard.'!U80+'5.1. Séreignard.'!AB81</f>
        <v>6353628</v>
      </c>
      <c r="R17" s="7">
        <f>+'4.1. Samtryggingard.'!V80</f>
        <v>6192659</v>
      </c>
      <c r="S17" s="7">
        <f>+'4.1. Samtryggingard.'!W80</f>
        <v>5780486</v>
      </c>
      <c r="T17" s="7">
        <f>+'4.1. Samtryggingard.'!X80+'5.1. Séreignard.'!AC81+'5.1. Séreignard.'!AD81</f>
        <v>6322500</v>
      </c>
      <c r="U17" s="7">
        <f>+'4.1. Samtryggingard.'!Y80</f>
        <v>9847586.4</v>
      </c>
      <c r="V17" s="7">
        <f>+'4.1. Samtryggingard.'!Z80+'4.1. Samtryggingard.'!AA80+'5.1. Séreignard.'!AE81+'5.1. Séreignard.'!AF81+'5.1. Séreignard.'!AG81</f>
        <v>5396032.552999999</v>
      </c>
      <c r="W17" s="7">
        <f>+'4.1. Samtryggingard.'!AB80+'5.1. Séreignard.'!AH81</f>
        <v>2816359</v>
      </c>
      <c r="X17" s="7">
        <f>+'4.1. Samtryggingard.'!AC80</f>
        <v>1110946</v>
      </c>
      <c r="Y17" s="7">
        <f>+'4.1. Samtryggingard.'!AD80+'5.1. Séreignard.'!AI81+'5.1. Séreignard.'!AJ81+'5.1. Séreignard.'!AK81+'5.1. Séreignard.'!AL81</f>
        <v>9801975.443</v>
      </c>
      <c r="Z17" s="7">
        <f>+'4.1. Samtryggingard.'!AE80</f>
        <v>6417044</v>
      </c>
      <c r="AA17" s="7">
        <f>+'4.1. Samtryggingard.'!AF80</f>
        <v>1778091.35</v>
      </c>
      <c r="AB17" s="7">
        <f>+'4.1. Samtryggingard.'!AG80</f>
        <v>4507422</v>
      </c>
      <c r="AC17" s="7">
        <f>+'4.1. Samtryggingard.'!AH80</f>
        <v>3410054.226</v>
      </c>
      <c r="AD17" s="7">
        <f>+'4.1. Samtryggingard.'!AI80+'4.1. Samtryggingard.'!AJ80</f>
        <v>1082711</v>
      </c>
      <c r="AE17" s="7">
        <f>+'4.1. Samtryggingard.'!AK80+'5.1. Séreignard.'!AM81</f>
        <v>1235465</v>
      </c>
      <c r="AF17" s="7">
        <f>+'4.1. Samtryggingard.'!AL80</f>
        <v>1197968</v>
      </c>
      <c r="AG17" s="7">
        <f>+'4.1. Samtryggingard.'!AM80</f>
        <v>1645436</v>
      </c>
      <c r="AH17" s="7">
        <f>+'4.1. Samtryggingard.'!AN80+'5.1. Séreignard.'!AN81</f>
        <v>1586147</v>
      </c>
      <c r="AI17" s="7">
        <f>+'4.1. Samtryggingard.'!AO80</f>
        <v>1085730</v>
      </c>
      <c r="AJ17" s="7">
        <f>+'4.1. Samtryggingard.'!AP80</f>
        <v>405212</v>
      </c>
      <c r="AK17" s="7">
        <f>+'4.1. Samtryggingard.'!AQ80</f>
        <v>1359160</v>
      </c>
      <c r="AL17" s="7">
        <f>+'4.1. Samtryggingard.'!AR80</f>
        <v>619661</v>
      </c>
      <c r="AM17" s="7">
        <f>+'4.1. Samtryggingard.'!AS80</f>
        <v>747267</v>
      </c>
      <c r="AN17" s="7">
        <f>+'4.1. Samtryggingard.'!AT80</f>
        <v>523628</v>
      </c>
      <c r="AO17" s="7">
        <f>+'4.1. Samtryggingard.'!AU80</f>
        <v>7517.582</v>
      </c>
      <c r="AP17" s="7">
        <f>+'4.1. Samtryggingard.'!AV80</f>
        <v>321421</v>
      </c>
      <c r="AQ17" s="7">
        <f>+'4.1. Samtryggingard.'!AW80</f>
        <v>472920</v>
      </c>
      <c r="AR17" s="7">
        <f>+'4.1. Samtryggingard.'!AX80</f>
        <v>0</v>
      </c>
      <c r="AS17" s="7">
        <f>+'4.1. Samtryggingard.'!AY80</f>
        <v>202545.229</v>
      </c>
      <c r="AT17" s="7">
        <f>+'4.1. Samtryggingard.'!AZ80</f>
        <v>91430</v>
      </c>
      <c r="AU17" s="7">
        <f>+'4.1. Samtryggingard.'!BA80</f>
        <v>0</v>
      </c>
      <c r="AV17" s="7">
        <f>+'4.1. Samtryggingard.'!BB80</f>
        <v>8639</v>
      </c>
      <c r="AW17" s="7">
        <f>+'4.1. Samtryggingard.'!BC80</f>
        <v>10000</v>
      </c>
      <c r="AY17" s="7">
        <f aca="true" t="shared" si="1" ref="AY17:AY24">SUM(B17:AW17)</f>
        <v>426016423.436</v>
      </c>
      <c r="AZ17" s="7"/>
    </row>
    <row r="18" spans="1:52" ht="12.75">
      <c r="A18" s="10" t="s">
        <v>235</v>
      </c>
      <c r="B18" s="8">
        <f>+'4.1. Samtryggingard.'!B81+'4.1. Samtryggingard.'!C81+'5.1. Séreignard.'!B82+'5.1. Séreignard.'!C82+'5.1. Séreignard.'!D82</f>
        <v>79619435</v>
      </c>
      <c r="C18" s="8">
        <f>+'4.1. Samtryggingard.'!D81+'5.1. Séreignard.'!E82</f>
        <v>59044152</v>
      </c>
      <c r="D18" s="7">
        <f>+'4.1. Samtryggingard.'!E81+'5.1. Séreignard.'!F82+'5.1. Séreignard.'!G82</f>
        <v>38354366.473</v>
      </c>
      <c r="E18" s="7">
        <f>+'4.1. Samtryggingard.'!F81+'5.1. Séreignard.'!H82+'5.1. Séreignard.'!I82+'5.1. Séreignard.'!J82</f>
        <v>36937979</v>
      </c>
      <c r="F18" s="7">
        <f>+'4.1. Samtryggingard.'!G81+'4.1. Samtryggingard.'!H81+'5.1. Séreignard.'!K82+'5.1. Séreignard.'!L82</f>
        <v>25318255</v>
      </c>
      <c r="G18" s="7">
        <f>+'4.1. Samtryggingard.'!I81+'5.1. Séreignard.'!M82+'5.1. Séreignard.'!N82</f>
        <v>19645712.693</v>
      </c>
      <c r="H18" s="7">
        <f>+'4.1. Samtryggingard.'!J81+'5.1. Séreignard.'!O82+'5.1. Séreignard.'!P82+'5.1. Séreignard.'!Q82</f>
        <v>16269264.4</v>
      </c>
      <c r="I18" s="7">
        <f>+'4.1. Samtryggingard.'!K81+'5.1. Séreignard.'!R82</f>
        <v>20575082</v>
      </c>
      <c r="J18" s="7">
        <f>+'4.1. Samtryggingard.'!L81+'5.1. Séreignard.'!S82+'5.1. Séreignard.'!T82+'5.1. Séreignard.'!U82+'5.1. Séreignard.'!V82</f>
        <v>3921164.6185671547</v>
      </c>
      <c r="K18" s="7">
        <f>+'4.1. Samtryggingard.'!M81+'5.1. Séreignard.'!W82+'5.1. Séreignard.'!X82</f>
        <v>12258918</v>
      </c>
      <c r="L18" s="7">
        <f>+'4.1. Samtryggingard.'!N81+'4.1. Samtryggingard.'!O81</f>
        <v>10298471</v>
      </c>
      <c r="M18" s="7">
        <f>+'4.1. Samtryggingard.'!P81+'4.1. Samtryggingard.'!Q81+'5.1. Séreignard.'!Y82</f>
        <v>12495044</v>
      </c>
      <c r="N18" s="7">
        <f>+'4.1. Samtryggingard.'!R81</f>
        <v>3283551</v>
      </c>
      <c r="O18" s="7">
        <f>+'4.1. Samtryggingard.'!S81+'5.1. Séreignard.'!Z82</f>
        <v>4772267</v>
      </c>
      <c r="P18" s="7">
        <f>+'4.1. Samtryggingard.'!T81+'5.1. Séreignard.'!AA82</f>
        <v>8292999.249</v>
      </c>
      <c r="Q18" s="7">
        <f>+'4.1. Samtryggingard.'!U81+'5.1. Séreignard.'!AB82</f>
        <v>6791684</v>
      </c>
      <c r="R18" s="7">
        <f>+'4.1. Samtryggingard.'!V81</f>
        <v>7432843</v>
      </c>
      <c r="S18" s="7">
        <f>+'4.1. Samtryggingard.'!W81</f>
        <v>7711740</v>
      </c>
      <c r="T18" s="7">
        <f>+'4.1. Samtryggingard.'!X81+'5.1. Séreignard.'!AC82+'5.1. Séreignard.'!AD82</f>
        <v>7576587</v>
      </c>
      <c r="U18" s="7">
        <f>+'4.1. Samtryggingard.'!Y81</f>
        <v>2530671</v>
      </c>
      <c r="V18" s="7">
        <f>+'4.1. Samtryggingard.'!Z81+'4.1. Samtryggingard.'!AA81+'5.1. Séreignard.'!AE82+'5.1. Séreignard.'!AF82+'5.1. Séreignard.'!AG82</f>
        <v>4105283.151</v>
      </c>
      <c r="W18" s="7">
        <f>+'4.1. Samtryggingard.'!AB81+'5.1. Séreignard.'!AH82</f>
        <v>7970393</v>
      </c>
      <c r="X18" s="7">
        <f>+'4.1. Samtryggingard.'!AC81</f>
        <v>4335958</v>
      </c>
      <c r="Y18" s="7">
        <f>+'4.1. Samtryggingard.'!AD81+'5.1. Séreignard.'!AI82+'5.1. Séreignard.'!AJ82+'5.1. Séreignard.'!AK82+'5.1. Séreignard.'!AL82</f>
        <v>356114.963</v>
      </c>
      <c r="Z18" s="7">
        <f>+'4.1. Samtryggingard.'!AE81</f>
        <v>2512560</v>
      </c>
      <c r="AA18" s="7">
        <f>+'4.1. Samtryggingard.'!AF81</f>
        <v>6516414.688</v>
      </c>
      <c r="AB18" s="7">
        <f>+'4.1. Samtryggingard.'!AG81</f>
        <v>1736097</v>
      </c>
      <c r="AC18" s="7">
        <f>+'4.1. Samtryggingard.'!AH81</f>
        <v>581643.49</v>
      </c>
      <c r="AD18" s="7">
        <f>+'4.1. Samtryggingard.'!AI81+'4.1. Samtryggingard.'!AJ81</f>
        <v>1935027</v>
      </c>
      <c r="AE18" s="7">
        <f>+'4.1. Samtryggingard.'!AK81+'5.1. Séreignard.'!AM82</f>
        <v>1228366</v>
      </c>
      <c r="AF18" s="7">
        <f>+'4.1. Samtryggingard.'!AL81</f>
        <v>848124</v>
      </c>
      <c r="AG18" s="7">
        <f>+'4.1. Samtryggingard.'!AM81</f>
        <v>744952</v>
      </c>
      <c r="AH18" s="7">
        <f>+'4.1. Samtryggingard.'!AN81+'5.1. Séreignard.'!AN82</f>
        <v>73080</v>
      </c>
      <c r="AI18" s="7">
        <f>+'4.1. Samtryggingard.'!AO81</f>
        <v>152264</v>
      </c>
      <c r="AJ18" s="7">
        <f>+'4.1. Samtryggingard.'!AP81</f>
        <v>1213071</v>
      </c>
      <c r="AK18" s="7">
        <f>+'4.1. Samtryggingard.'!AQ81</f>
        <v>97293</v>
      </c>
      <c r="AL18" s="7">
        <f>+'4.1. Samtryggingard.'!AR81</f>
        <v>581961</v>
      </c>
      <c r="AM18" s="7">
        <f>+'4.1. Samtryggingard.'!AS81</f>
        <v>197565</v>
      </c>
      <c r="AN18" s="7">
        <f>+'4.1. Samtryggingard.'!AT81</f>
        <v>179565</v>
      </c>
      <c r="AO18" s="7">
        <f>+'4.1. Samtryggingard.'!AU81</f>
        <v>213707.336</v>
      </c>
      <c r="AP18" s="7">
        <f>+'4.1. Samtryggingard.'!AV81</f>
        <v>139704</v>
      </c>
      <c r="AQ18" s="7">
        <f>+'4.1. Samtryggingard.'!AW81</f>
        <v>37933</v>
      </c>
      <c r="AR18" s="7">
        <f>+'4.1. Samtryggingard.'!AX81</f>
        <v>386923</v>
      </c>
      <c r="AS18" s="7">
        <f>+'4.1. Samtryggingard.'!AY81</f>
        <v>151253.17</v>
      </c>
      <c r="AT18" s="7">
        <f>+'4.1. Samtryggingard.'!AZ81</f>
        <v>62968</v>
      </c>
      <c r="AU18" s="7">
        <f>+'4.1. Samtryggingard.'!BA81</f>
        <v>16335</v>
      </c>
      <c r="AV18" s="7">
        <f>+'4.1. Samtryggingard.'!BB81</f>
        <v>0</v>
      </c>
      <c r="AW18" s="7">
        <f>+'4.1. Samtryggingard.'!BC81</f>
        <v>1495</v>
      </c>
      <c r="AY18" s="7">
        <f t="shared" si="1"/>
        <v>419506237.23156726</v>
      </c>
      <c r="AZ18" s="7"/>
    </row>
    <row r="19" spans="1:52" ht="12.75">
      <c r="A19" s="7" t="s">
        <v>236</v>
      </c>
      <c r="B19" s="8">
        <f>+'4.1. Samtryggingard.'!B82+'4.1. Samtryggingard.'!C82+'5.1. Séreignard.'!B83+'5.1. Séreignard.'!C83+'5.1. Séreignard.'!D83</f>
        <v>25620549</v>
      </c>
      <c r="C19" s="8">
        <f>+'4.1. Samtryggingard.'!D82+'5.1. Séreignard.'!E83</f>
        <v>23515860</v>
      </c>
      <c r="D19" s="7">
        <f>+'4.1. Samtryggingard.'!E82+'5.1. Séreignard.'!F83+'5.1. Séreignard.'!G83</f>
        <v>6865644.377</v>
      </c>
      <c r="E19" s="7">
        <f>+'4.1. Samtryggingard.'!F82+'5.1. Séreignard.'!H83+'5.1. Séreignard.'!I83+'5.1. Séreignard.'!J83</f>
        <v>3347948</v>
      </c>
      <c r="F19" s="7">
        <f>+'4.1. Samtryggingard.'!G82+'4.1. Samtryggingard.'!H82+'5.1. Séreignard.'!K83+'5.1. Séreignard.'!L83</f>
        <v>10346111</v>
      </c>
      <c r="G19" s="7">
        <f>+'4.1. Samtryggingard.'!I82+'5.1. Séreignard.'!M83+'5.1. Séreignard.'!N83</f>
        <v>1250290.693</v>
      </c>
      <c r="H19" s="7">
        <f>+'4.1. Samtryggingard.'!J82+'5.1. Séreignard.'!O83+'5.1. Séreignard.'!P83+'5.1. Séreignard.'!Q83</f>
        <v>80459</v>
      </c>
      <c r="I19" s="7">
        <f>+'4.1. Samtryggingard.'!K82+'5.1. Séreignard.'!R83</f>
        <v>1096828</v>
      </c>
      <c r="J19" s="7">
        <f>+'4.1. Samtryggingard.'!L82+'5.1. Séreignard.'!S83+'5.1. Séreignard.'!T83+'5.1. Séreignard.'!U83+'5.1. Séreignard.'!V83</f>
        <v>1795064.2603528455</v>
      </c>
      <c r="K19" s="7">
        <f>+'4.1. Samtryggingard.'!M82+'5.1. Séreignard.'!W83+'5.1. Séreignard.'!X83</f>
        <v>6547061</v>
      </c>
      <c r="L19" s="7">
        <f>+'4.1. Samtryggingard.'!N82+'4.1. Samtryggingard.'!O82</f>
        <v>2113639</v>
      </c>
      <c r="M19" s="7">
        <f>+'4.1. Samtryggingard.'!P82+'4.1. Samtryggingard.'!Q82+'5.1. Séreignard.'!Y83</f>
        <v>2596249</v>
      </c>
      <c r="N19" s="7">
        <f>+'4.1. Samtryggingard.'!R82</f>
        <v>2034779</v>
      </c>
      <c r="O19" s="7">
        <f>+'4.1. Samtryggingard.'!S82+'5.1. Séreignard.'!Z83</f>
        <v>973472</v>
      </c>
      <c r="P19" s="7">
        <f>+'4.1. Samtryggingard.'!T82+'5.1. Séreignard.'!AA83</f>
        <v>563242</v>
      </c>
      <c r="Q19" s="7">
        <f>+'4.1. Samtryggingard.'!U82+'5.1. Séreignard.'!AB83</f>
        <v>4002235</v>
      </c>
      <c r="R19" s="7">
        <f>+'4.1. Samtryggingard.'!V82</f>
        <v>1595350</v>
      </c>
      <c r="S19" s="7">
        <f>+'4.1. Samtryggingard.'!W82</f>
        <v>1166956</v>
      </c>
      <c r="T19" s="7">
        <f>+'4.1. Samtryggingard.'!X82+'5.1. Séreignard.'!AC83+'5.1. Séreignard.'!AD83</f>
        <v>0</v>
      </c>
      <c r="U19" s="7">
        <f>+'4.1. Samtryggingard.'!Y82</f>
        <v>743330</v>
      </c>
      <c r="V19" s="7">
        <f>+'4.1. Samtryggingard.'!Z82+'4.1. Samtryggingard.'!AA82+'5.1. Séreignard.'!AE83+'5.1. Séreignard.'!AF83+'5.1. Séreignard.'!AG83</f>
        <v>1681797.9449999998</v>
      </c>
      <c r="W19" s="7">
        <f>+'4.1. Samtryggingard.'!AB82+'5.1. Séreignard.'!AH83</f>
        <v>4384</v>
      </c>
      <c r="X19" s="7">
        <f>+'4.1. Samtryggingard.'!AC82</f>
        <v>2020371</v>
      </c>
      <c r="Y19" s="7">
        <f>+'4.1. Samtryggingard.'!AD82+'5.1. Séreignard.'!AI83+'5.1. Séreignard.'!AJ83+'5.1. Séreignard.'!AK83+'5.1. Séreignard.'!AL83</f>
        <v>0</v>
      </c>
      <c r="Z19" s="7">
        <f>+'4.1. Samtryggingard.'!AE82</f>
        <v>1169361</v>
      </c>
      <c r="AA19" s="7">
        <f>+'4.1. Samtryggingard.'!AF82</f>
        <v>368555.21</v>
      </c>
      <c r="AB19" s="7">
        <f>+'4.1. Samtryggingard.'!AG82</f>
        <v>659567</v>
      </c>
      <c r="AC19" s="7">
        <f>+'4.1. Samtryggingard.'!AH82</f>
        <v>0</v>
      </c>
      <c r="AD19" s="7">
        <f>+'4.1. Samtryggingard.'!AI82+'4.1. Samtryggingard.'!AJ82</f>
        <v>81580</v>
      </c>
      <c r="AE19" s="7">
        <f>+'4.1. Samtryggingard.'!AK82+'5.1. Séreignard.'!AM83</f>
        <v>538</v>
      </c>
      <c r="AF19" s="7">
        <f>+'4.1. Samtryggingard.'!AL82</f>
        <v>58476</v>
      </c>
      <c r="AG19" s="7">
        <f>+'4.1. Samtryggingard.'!AM82</f>
        <v>27772</v>
      </c>
      <c r="AH19" s="7">
        <f>+'4.1. Samtryggingard.'!AN82+'5.1. Séreignard.'!AN83</f>
        <v>64780</v>
      </c>
      <c r="AI19" s="7">
        <f>+'4.1. Samtryggingard.'!AO82</f>
        <v>473790</v>
      </c>
      <c r="AJ19" s="7">
        <f>+'4.1. Samtryggingard.'!AP82</f>
        <v>0</v>
      </c>
      <c r="AK19" s="7">
        <f>+'4.1. Samtryggingard.'!AQ82</f>
        <v>20265</v>
      </c>
      <c r="AL19" s="7">
        <f>+'4.1. Samtryggingard.'!AR82</f>
        <v>100178</v>
      </c>
      <c r="AM19" s="7">
        <f>+'4.1. Samtryggingard.'!AS82</f>
        <v>0</v>
      </c>
      <c r="AN19" s="7">
        <f>+'4.1. Samtryggingard.'!AT82</f>
        <v>0</v>
      </c>
      <c r="AO19" s="7">
        <f>+'4.1. Samtryggingard.'!AU82</f>
        <v>27319.591</v>
      </c>
      <c r="AP19" s="7">
        <f>+'4.1. Samtryggingard.'!AV82</f>
        <v>82089</v>
      </c>
      <c r="AQ19" s="7">
        <f>+'4.1. Samtryggingard.'!AW82</f>
        <v>1080</v>
      </c>
      <c r="AR19" s="7">
        <f>+'4.1. Samtryggingard.'!AX82</f>
        <v>24174</v>
      </c>
      <c r="AS19" s="7">
        <f>+'4.1. Samtryggingard.'!AY82</f>
        <v>12069.827</v>
      </c>
      <c r="AT19" s="7">
        <f>+'4.1. Samtryggingard.'!AZ82</f>
        <v>4711</v>
      </c>
      <c r="AU19" s="7">
        <f>+'4.1. Samtryggingard.'!BA82</f>
        <v>27069</v>
      </c>
      <c r="AV19" s="7">
        <f>+'4.1. Samtryggingard.'!BB82</f>
        <v>0</v>
      </c>
      <c r="AW19" s="7">
        <f>+'4.1. Samtryggingard.'!BC82</f>
        <v>2709</v>
      </c>
      <c r="AY19" s="7">
        <f t="shared" si="1"/>
        <v>103167703.90335286</v>
      </c>
      <c r="AZ19" s="7"/>
    </row>
    <row r="20" spans="1:52" ht="12.75">
      <c r="A20" s="7" t="s">
        <v>237</v>
      </c>
      <c r="B20" s="8">
        <f>+'4.1. Samtryggingard.'!B83+'4.1. Samtryggingard.'!C83+'5.1. Séreignard.'!B84+'5.1. Séreignard.'!C84+'5.1. Séreignard.'!D84</f>
        <v>0</v>
      </c>
      <c r="C20" s="8">
        <f>+'4.1. Samtryggingard.'!D83+'5.1. Séreignard.'!E84</f>
        <v>0</v>
      </c>
      <c r="D20" s="7">
        <f>+'4.1. Samtryggingard.'!E83+'5.1. Séreignard.'!F84+'5.1. Séreignard.'!G84</f>
        <v>0</v>
      </c>
      <c r="E20" s="7">
        <f>+'4.1. Samtryggingard.'!F83+'5.1. Séreignard.'!H84+'5.1. Séreignard.'!I84+'5.1. Séreignard.'!J84</f>
        <v>0</v>
      </c>
      <c r="F20" s="7">
        <f>+'4.1. Samtryggingard.'!G83+'4.1. Samtryggingard.'!H83+'5.1. Séreignard.'!K84+'5.1. Séreignard.'!L84</f>
        <v>22289</v>
      </c>
      <c r="G20" s="7">
        <f>+'4.1. Samtryggingard.'!I83+'5.1. Séreignard.'!M84+'5.1. Séreignard.'!N84</f>
        <v>0</v>
      </c>
      <c r="H20" s="7">
        <f>+'4.1. Samtryggingard.'!J83+'5.1. Séreignard.'!O84+'5.1. Séreignard.'!P84+'5.1. Séreignard.'!Q84</f>
        <v>0</v>
      </c>
      <c r="I20" s="7">
        <f>+'4.1. Samtryggingard.'!K83+'5.1. Séreignard.'!R84</f>
        <v>0</v>
      </c>
      <c r="J20" s="7">
        <f>+'4.1. Samtryggingard.'!L83+'5.1. Séreignard.'!S84+'5.1. Séreignard.'!T84+'5.1. Séreignard.'!U84+'5.1. Séreignard.'!V84</f>
        <v>0</v>
      </c>
      <c r="K20" s="7">
        <f>+'4.1. Samtryggingard.'!M83+'5.1. Séreignard.'!W84+'5.1. Séreignard.'!X84</f>
        <v>23372</v>
      </c>
      <c r="L20" s="7">
        <f>+'4.1. Samtryggingard.'!N83+'4.1. Samtryggingard.'!O83</f>
        <v>0</v>
      </c>
      <c r="M20" s="7">
        <f>+'4.1. Samtryggingard.'!P83+'4.1. Samtryggingard.'!Q83+'5.1. Séreignard.'!Y84</f>
        <v>14845</v>
      </c>
      <c r="N20" s="7">
        <f>+'4.1. Samtryggingard.'!R83</f>
        <v>0</v>
      </c>
      <c r="O20" s="7">
        <f>+'4.1. Samtryggingard.'!S83+'5.1. Séreignard.'!Z84</f>
        <v>0</v>
      </c>
      <c r="P20" s="7">
        <f>+'4.1. Samtryggingard.'!T83+'5.1. Séreignard.'!AA84</f>
        <v>0</v>
      </c>
      <c r="Q20" s="7">
        <f>+'4.1. Samtryggingard.'!U83+'5.1. Séreignard.'!AB84</f>
        <v>0</v>
      </c>
      <c r="R20" s="7">
        <f>+'4.1. Samtryggingard.'!V83</f>
        <v>0</v>
      </c>
      <c r="S20" s="7">
        <f>+'4.1. Samtryggingard.'!W83</f>
        <v>0</v>
      </c>
      <c r="T20" s="7">
        <f>+'4.1. Samtryggingard.'!X83+'5.1. Séreignard.'!AC84+'5.1. Séreignard.'!AD84</f>
        <v>0</v>
      </c>
      <c r="U20" s="7">
        <f>+'4.1. Samtryggingard.'!Y83</f>
        <v>546442</v>
      </c>
      <c r="V20" s="7">
        <f>+'4.1. Samtryggingard.'!Z83+'4.1. Samtryggingard.'!AA83+'5.1. Séreignard.'!AE84+'5.1. Séreignard.'!AF84+'5.1. Séreignard.'!AG84</f>
        <v>0</v>
      </c>
      <c r="W20" s="7">
        <f>+'4.1. Samtryggingard.'!AB83+'5.1. Séreignard.'!AH84</f>
        <v>0</v>
      </c>
      <c r="X20" s="7">
        <f>+'4.1. Samtryggingard.'!AC83</f>
        <v>0</v>
      </c>
      <c r="Y20" s="7">
        <f>+'4.1. Samtryggingard.'!AD83+'5.1. Séreignard.'!AI84+'5.1. Séreignard.'!AJ84+'5.1. Séreignard.'!AK84+'5.1. Séreignard.'!AL84</f>
        <v>0</v>
      </c>
      <c r="Z20" s="7">
        <f>+'4.1. Samtryggingard.'!AE83</f>
        <v>0</v>
      </c>
      <c r="AA20" s="7">
        <f>+'4.1. Samtryggingard.'!AF83</f>
        <v>0</v>
      </c>
      <c r="AB20" s="7">
        <f>+'4.1. Samtryggingard.'!AG83</f>
        <v>0</v>
      </c>
      <c r="AC20" s="7">
        <f>+'4.1. Samtryggingard.'!AH83</f>
        <v>0</v>
      </c>
      <c r="AD20" s="7">
        <f>+'4.1. Samtryggingard.'!AI83+'4.1. Samtryggingard.'!AJ83</f>
        <v>0</v>
      </c>
      <c r="AE20" s="7">
        <f>+'4.1. Samtryggingard.'!AK83+'5.1. Séreignard.'!AM84</f>
        <v>0</v>
      </c>
      <c r="AF20" s="7">
        <f>+'4.1. Samtryggingard.'!AL83</f>
        <v>0</v>
      </c>
      <c r="AG20" s="7">
        <f>+'4.1. Samtryggingard.'!AM83</f>
        <v>0</v>
      </c>
      <c r="AH20" s="7">
        <f>+'4.1. Samtryggingard.'!AN83+'5.1. Séreignard.'!AN84</f>
        <v>0</v>
      </c>
      <c r="AI20" s="7">
        <f>+'4.1. Samtryggingard.'!AO83</f>
        <v>0</v>
      </c>
      <c r="AJ20" s="7">
        <f>+'4.1. Samtryggingard.'!AP83</f>
        <v>0</v>
      </c>
      <c r="AK20" s="7">
        <f>+'4.1. Samtryggingard.'!AQ83</f>
        <v>0</v>
      </c>
      <c r="AL20" s="7">
        <f>+'4.1. Samtryggingard.'!AR83</f>
        <v>0</v>
      </c>
      <c r="AM20" s="7">
        <f>+'4.1. Samtryggingard.'!AS83</f>
        <v>0</v>
      </c>
      <c r="AN20" s="7">
        <f>+'4.1. Samtryggingard.'!AT83</f>
        <v>0</v>
      </c>
      <c r="AO20" s="7">
        <f>+'4.1. Samtryggingard.'!AU83</f>
        <v>0</v>
      </c>
      <c r="AP20" s="7">
        <f>+'4.1. Samtryggingard.'!AV83</f>
        <v>0</v>
      </c>
      <c r="AQ20" s="7">
        <f>+'4.1. Samtryggingard.'!AW83</f>
        <v>0</v>
      </c>
      <c r="AR20" s="7">
        <f>+'4.1. Samtryggingard.'!AX83</f>
        <v>0</v>
      </c>
      <c r="AS20" s="7">
        <f>+'4.1. Samtryggingard.'!AY83</f>
        <v>0</v>
      </c>
      <c r="AT20" s="7">
        <f>+'4.1. Samtryggingard.'!AZ83</f>
        <v>0</v>
      </c>
      <c r="AU20" s="7">
        <f>+'4.1. Samtryggingard.'!BA83</f>
        <v>0</v>
      </c>
      <c r="AV20" s="7">
        <f>+'4.1. Samtryggingard.'!BB83</f>
        <v>0</v>
      </c>
      <c r="AW20" s="7">
        <f>+'4.1. Samtryggingard.'!BC83</f>
        <v>0</v>
      </c>
      <c r="AY20" s="7">
        <f t="shared" si="1"/>
        <v>606948</v>
      </c>
      <c r="AZ20" s="7"/>
    </row>
    <row r="21" spans="1:52" ht="12.75">
      <c r="A21" s="10" t="s">
        <v>238</v>
      </c>
      <c r="B21" s="8">
        <f>+'4.1. Samtryggingard.'!B84+'4.1. Samtryggingard.'!C84+'5.1. Séreignard.'!B85+'5.1. Séreignard.'!C85+'5.1. Séreignard.'!D85</f>
        <v>277878</v>
      </c>
      <c r="C21" s="8">
        <f>+'4.1. Samtryggingard.'!D84+'5.1. Séreignard.'!E85</f>
        <v>0</v>
      </c>
      <c r="D21" s="7">
        <f>+'4.1. Samtryggingard.'!E84+'5.1. Séreignard.'!F85+'5.1. Séreignard.'!G85</f>
        <v>0</v>
      </c>
      <c r="E21" s="7">
        <f>+'4.1. Samtryggingard.'!F84+'5.1. Séreignard.'!H85+'5.1. Séreignard.'!I85+'5.1. Séreignard.'!J85</f>
        <v>22393</v>
      </c>
      <c r="F21" s="7">
        <f>+'4.1. Samtryggingard.'!G84+'4.1. Samtryggingard.'!H84+'5.1. Séreignard.'!K85+'5.1. Séreignard.'!L85</f>
        <v>0</v>
      </c>
      <c r="G21" s="7">
        <f>+'4.1. Samtryggingard.'!I84+'5.1. Séreignard.'!M85+'5.1. Séreignard.'!N85</f>
        <v>904783</v>
      </c>
      <c r="H21" s="7">
        <f>+'4.1. Samtryggingard.'!J84+'5.1. Séreignard.'!O85+'5.1. Séreignard.'!P85+'5.1. Séreignard.'!Q85</f>
        <v>3753678</v>
      </c>
      <c r="I21" s="7">
        <f>+'4.1. Samtryggingard.'!K84+'5.1. Séreignard.'!R85</f>
        <v>0</v>
      </c>
      <c r="J21" s="7">
        <f>+'4.1. Samtryggingard.'!L84+'5.1. Séreignard.'!S85+'5.1. Séreignard.'!T85+'5.1. Séreignard.'!U85+'5.1. Séreignard.'!V85</f>
        <v>935578.804</v>
      </c>
      <c r="K21" s="7">
        <f>+'4.1. Samtryggingard.'!M84+'5.1. Séreignard.'!W85+'5.1. Séreignard.'!X85</f>
        <v>0</v>
      </c>
      <c r="L21" s="7">
        <f>+'4.1. Samtryggingard.'!N84+'4.1. Samtryggingard.'!O84</f>
        <v>0</v>
      </c>
      <c r="M21" s="7">
        <f>+'4.1. Samtryggingard.'!P84+'4.1. Samtryggingard.'!Q84+'5.1. Séreignard.'!Y85</f>
        <v>195845</v>
      </c>
      <c r="N21" s="7">
        <f>+'4.1. Samtryggingard.'!R84</f>
        <v>0</v>
      </c>
      <c r="O21" s="7">
        <f>+'4.1. Samtryggingard.'!S84+'5.1. Séreignard.'!Z85</f>
        <v>0</v>
      </c>
      <c r="P21" s="7">
        <f>+'4.1. Samtryggingard.'!T84+'5.1. Séreignard.'!AA85</f>
        <v>0</v>
      </c>
      <c r="Q21" s="7">
        <f>+'4.1. Samtryggingard.'!U84+'5.1. Séreignard.'!AB85</f>
        <v>294395</v>
      </c>
      <c r="R21" s="7">
        <f>+'4.1. Samtryggingard.'!V84</f>
        <v>0</v>
      </c>
      <c r="S21" s="7">
        <f>+'4.1. Samtryggingard.'!W84</f>
        <v>467638</v>
      </c>
      <c r="T21" s="7">
        <f>+'4.1. Samtryggingard.'!X84+'5.1. Séreignard.'!AC85+'5.1. Séreignard.'!AD85</f>
        <v>745921</v>
      </c>
      <c r="U21" s="7">
        <f>+'4.1. Samtryggingard.'!Y84</f>
        <v>25644</v>
      </c>
      <c r="V21" s="7">
        <f>+'4.1. Samtryggingard.'!Z84+'4.1. Samtryggingard.'!AA84+'5.1. Séreignard.'!AE85+'5.1. Séreignard.'!AF85+'5.1. Séreignard.'!AG85</f>
        <v>826427.483</v>
      </c>
      <c r="W21" s="7">
        <f>+'4.1. Samtryggingard.'!AB84+'5.1. Séreignard.'!AH85</f>
        <v>302224</v>
      </c>
      <c r="X21" s="7">
        <f>+'4.1. Samtryggingard.'!AC84</f>
        <v>0</v>
      </c>
      <c r="Y21" s="7">
        <f>+'4.1. Samtryggingard.'!AD84+'5.1. Séreignard.'!AI85+'5.1. Séreignard.'!AJ85+'5.1. Séreignard.'!AK85+'5.1. Séreignard.'!AL85</f>
        <v>159688.712</v>
      </c>
      <c r="Z21" s="7">
        <f>+'4.1. Samtryggingard.'!AE84</f>
        <v>0</v>
      </c>
      <c r="AA21" s="7">
        <f>+'4.1. Samtryggingard.'!AF84</f>
        <v>0</v>
      </c>
      <c r="AB21" s="7">
        <f>+'4.1. Samtryggingard.'!AG84</f>
        <v>173611</v>
      </c>
      <c r="AC21" s="7">
        <f>+'4.1. Samtryggingard.'!AH84</f>
        <v>0</v>
      </c>
      <c r="AD21" s="7">
        <f>+'4.1. Samtryggingard.'!AI84+'4.1. Samtryggingard.'!AJ84</f>
        <v>0</v>
      </c>
      <c r="AE21" s="7">
        <f>+'4.1. Samtryggingard.'!AK84+'5.1. Séreignard.'!AM85</f>
        <v>0</v>
      </c>
      <c r="AF21" s="7">
        <f>+'4.1. Samtryggingard.'!AL84</f>
        <v>334462</v>
      </c>
      <c r="AG21" s="7">
        <f>+'4.1. Samtryggingard.'!AM84</f>
        <v>0</v>
      </c>
      <c r="AH21" s="7">
        <f>+'4.1. Samtryggingard.'!AN84+'5.1. Séreignard.'!AN85</f>
        <v>0</v>
      </c>
      <c r="AI21" s="7">
        <f>+'4.1. Samtryggingard.'!AO84</f>
        <v>0</v>
      </c>
      <c r="AJ21" s="7">
        <f>+'4.1. Samtryggingard.'!AP84</f>
        <v>306</v>
      </c>
      <c r="AK21" s="7">
        <f>+'4.1. Samtryggingard.'!AQ84</f>
        <v>0</v>
      </c>
      <c r="AL21" s="7">
        <f>+'4.1. Samtryggingard.'!AR84</f>
        <v>0</v>
      </c>
      <c r="AM21" s="7">
        <f>+'4.1. Samtryggingard.'!AS84</f>
        <v>0</v>
      </c>
      <c r="AN21" s="7">
        <f>+'4.1. Samtryggingard.'!AT84</f>
        <v>0</v>
      </c>
      <c r="AO21" s="7">
        <f>+'4.1. Samtryggingard.'!AU84</f>
        <v>369442.014</v>
      </c>
      <c r="AP21" s="7">
        <f>+'4.1. Samtryggingard.'!AV84</f>
        <v>0</v>
      </c>
      <c r="AQ21" s="7">
        <f>+'4.1. Samtryggingard.'!AW84</f>
        <v>0</v>
      </c>
      <c r="AR21" s="7">
        <f>+'4.1. Samtryggingard.'!AX84</f>
        <v>0</v>
      </c>
      <c r="AS21" s="7">
        <f>+'4.1. Samtryggingard.'!AY84</f>
        <v>29072.461</v>
      </c>
      <c r="AT21" s="7">
        <f>+'4.1. Samtryggingard.'!AZ84</f>
        <v>27039</v>
      </c>
      <c r="AU21" s="7">
        <f>+'4.1. Samtryggingard.'!BA84</f>
        <v>0</v>
      </c>
      <c r="AV21" s="7">
        <f>+'4.1. Samtryggingard.'!BB84</f>
        <v>0</v>
      </c>
      <c r="AW21" s="7">
        <f>+'4.1. Samtryggingard.'!BC84</f>
        <v>0</v>
      </c>
      <c r="AY21" s="7">
        <f t="shared" si="1"/>
        <v>9846026.474</v>
      </c>
      <c r="AZ21" s="7"/>
    </row>
    <row r="22" spans="1:52" ht="12.75">
      <c r="A22" s="7" t="s">
        <v>233</v>
      </c>
      <c r="B22" s="8">
        <f>+'4.1. Samtryggingard.'!B85+'4.1. Samtryggingard.'!C85+'5.1. Séreignard.'!B86+'5.1. Séreignard.'!C86+'5.1. Séreignard.'!D86</f>
        <v>84</v>
      </c>
      <c r="C22" s="8">
        <f>+'4.1. Samtryggingard.'!D85+'5.1. Séreignard.'!E86</f>
        <v>0</v>
      </c>
      <c r="D22" s="7">
        <f>+'4.1. Samtryggingard.'!E85+'5.1. Séreignard.'!F86+'5.1. Séreignard.'!G86</f>
        <v>0</v>
      </c>
      <c r="E22" s="7">
        <f>+'4.1. Samtryggingard.'!F85+'5.1. Séreignard.'!H86+'5.1. Séreignard.'!I86+'5.1. Séreignard.'!J86</f>
        <v>38890</v>
      </c>
      <c r="F22" s="7">
        <f>+'4.1. Samtryggingard.'!G85+'4.1. Samtryggingard.'!H85+'5.1. Séreignard.'!K86+'5.1. Séreignard.'!L86</f>
        <v>0</v>
      </c>
      <c r="G22" s="7">
        <f>+'4.1. Samtryggingard.'!I85+'5.1. Séreignard.'!M86+'5.1. Séreignard.'!N86</f>
        <v>467840.159</v>
      </c>
      <c r="H22" s="7">
        <f>+'4.1. Samtryggingard.'!J85+'5.1. Séreignard.'!O86+'5.1. Séreignard.'!P86+'5.1. Séreignard.'!Q86</f>
        <v>0</v>
      </c>
      <c r="I22" s="7">
        <f>+'4.1. Samtryggingard.'!K85+'5.1. Séreignard.'!R86</f>
        <v>5989</v>
      </c>
      <c r="J22" s="7">
        <f>+'4.1. Samtryggingard.'!L85+'5.1. Séreignard.'!S86+'5.1. Séreignard.'!T86+'5.1. Séreignard.'!U86+'5.1. Séreignard.'!V86</f>
        <v>0</v>
      </c>
      <c r="K22" s="7">
        <f>+'4.1. Samtryggingard.'!M85+'5.1. Séreignard.'!W86+'5.1. Séreignard.'!X86</f>
        <v>69625</v>
      </c>
      <c r="L22" s="7">
        <f>+'4.1. Samtryggingard.'!N85+'4.1. Samtryggingard.'!O85</f>
        <v>0</v>
      </c>
      <c r="M22" s="7">
        <f>+'4.1. Samtryggingard.'!P85+'4.1. Samtryggingard.'!Q85+'5.1. Séreignard.'!Y86</f>
        <v>56738</v>
      </c>
      <c r="N22" s="7">
        <f>+'4.1. Samtryggingard.'!R85</f>
        <v>1336</v>
      </c>
      <c r="O22" s="7">
        <f>+'4.1. Samtryggingard.'!S85+'5.1. Séreignard.'!Z86</f>
        <v>893768</v>
      </c>
      <c r="P22" s="7">
        <f>+'4.1. Samtryggingard.'!T85+'5.1. Séreignard.'!AA86</f>
        <v>23599</v>
      </c>
      <c r="Q22" s="7">
        <f>+'4.1. Samtryggingard.'!U85+'5.1. Séreignard.'!AB86</f>
        <v>0</v>
      </c>
      <c r="R22" s="7">
        <f>+'4.1. Samtryggingard.'!V85</f>
        <v>0</v>
      </c>
      <c r="S22" s="7">
        <f>+'4.1. Samtryggingard.'!W85</f>
        <v>5889</v>
      </c>
      <c r="T22" s="7">
        <f>+'4.1. Samtryggingard.'!X85+'5.1. Séreignard.'!AC86+'5.1. Séreignard.'!AD86</f>
        <v>130408</v>
      </c>
      <c r="U22" s="7">
        <f>+'4.1. Samtryggingard.'!Y85</f>
        <v>0</v>
      </c>
      <c r="V22" s="7">
        <f>+'4.1. Samtryggingard.'!Z85+'4.1. Samtryggingard.'!AA85+'5.1. Séreignard.'!AE86+'5.1. Séreignard.'!AF86+'5.1. Séreignard.'!AG86</f>
        <v>31235.537</v>
      </c>
      <c r="W22" s="7">
        <f>+'4.1. Samtryggingard.'!AB85+'5.1. Séreignard.'!AH86</f>
        <v>0</v>
      </c>
      <c r="X22" s="7">
        <f>+'4.1. Samtryggingard.'!AC85</f>
        <v>0</v>
      </c>
      <c r="Y22" s="7">
        <f>+'4.1. Samtryggingard.'!AD85+'5.1. Séreignard.'!AI86+'5.1. Séreignard.'!AJ86+'5.1. Séreignard.'!AK86+'5.1. Séreignard.'!AL86</f>
        <v>0</v>
      </c>
      <c r="Z22" s="7">
        <f>+'4.1. Samtryggingard.'!AE85</f>
        <v>0</v>
      </c>
      <c r="AA22" s="7">
        <f>+'4.1. Samtryggingard.'!AF85</f>
        <v>0</v>
      </c>
      <c r="AB22" s="7">
        <f>+'4.1. Samtryggingard.'!AG85</f>
        <v>0</v>
      </c>
      <c r="AC22" s="7">
        <f>+'4.1. Samtryggingard.'!AH85</f>
        <v>0</v>
      </c>
      <c r="AD22" s="7">
        <f>+'4.1. Samtryggingard.'!AI85+'4.1. Samtryggingard.'!AJ85</f>
        <v>0</v>
      </c>
      <c r="AE22" s="7">
        <f>+'4.1. Samtryggingard.'!AK85+'5.1. Séreignard.'!AM86</f>
        <v>0</v>
      </c>
      <c r="AF22" s="7">
        <f>+'4.1. Samtryggingard.'!AL85</f>
        <v>0</v>
      </c>
      <c r="AG22" s="7">
        <f>+'4.1. Samtryggingard.'!AM85</f>
        <v>0</v>
      </c>
      <c r="AH22" s="7">
        <f>+'4.1. Samtryggingard.'!AN85+'5.1. Séreignard.'!AN86</f>
        <v>0</v>
      </c>
      <c r="AI22" s="7">
        <f>+'4.1. Samtryggingard.'!AO85</f>
        <v>0</v>
      </c>
      <c r="AJ22" s="7">
        <f>+'4.1. Samtryggingard.'!AP85</f>
        <v>0</v>
      </c>
      <c r="AK22" s="7">
        <f>+'4.1. Samtryggingard.'!AQ85</f>
        <v>0</v>
      </c>
      <c r="AL22" s="7">
        <f>+'4.1. Samtryggingard.'!AR85</f>
        <v>-1233</v>
      </c>
      <c r="AM22" s="7">
        <f>+'4.1. Samtryggingard.'!AS85</f>
        <v>0</v>
      </c>
      <c r="AN22" s="7">
        <f>+'4.1. Samtryggingard.'!AT85</f>
        <v>0</v>
      </c>
      <c r="AO22" s="7">
        <f>+'4.1. Samtryggingard.'!AU85</f>
        <v>-5000</v>
      </c>
      <c r="AP22" s="7">
        <f>+'4.1. Samtryggingard.'!AV85</f>
        <v>0</v>
      </c>
      <c r="AQ22" s="7">
        <f>+'4.1. Samtryggingard.'!AW85</f>
        <v>0</v>
      </c>
      <c r="AR22" s="7">
        <f>+'4.1. Samtryggingard.'!AX85</f>
        <v>0</v>
      </c>
      <c r="AS22" s="7">
        <f>+'4.1. Samtryggingard.'!AY85</f>
        <v>0</v>
      </c>
      <c r="AT22" s="7">
        <f>+'4.1. Samtryggingard.'!AZ85</f>
        <v>0</v>
      </c>
      <c r="AU22" s="7">
        <f>+'4.1. Samtryggingard.'!BA85</f>
        <v>0</v>
      </c>
      <c r="AV22" s="7">
        <f>+'4.1. Samtryggingard.'!BB85</f>
        <v>0</v>
      </c>
      <c r="AW22" s="7">
        <f>+'4.1. Samtryggingard.'!BC85</f>
        <v>0</v>
      </c>
      <c r="AY22" s="7">
        <f t="shared" si="1"/>
        <v>1719168.696</v>
      </c>
      <c r="AZ22" s="7"/>
    </row>
    <row r="23" spans="1:52" ht="12.75">
      <c r="A23" s="218" t="s">
        <v>239</v>
      </c>
      <c r="B23" s="7">
        <f>SUM(B17:B22)</f>
        <v>178038677</v>
      </c>
      <c r="C23" s="7">
        <f aca="true" t="shared" si="2" ref="C23:AW23">SUM(C17:C22)</f>
        <v>144352899</v>
      </c>
      <c r="D23" s="7">
        <f t="shared" si="2"/>
        <v>74952598.85</v>
      </c>
      <c r="E23" s="7">
        <f t="shared" si="2"/>
        <v>67194762</v>
      </c>
      <c r="F23" s="7">
        <f t="shared" si="2"/>
        <v>59010496</v>
      </c>
      <c r="G23" s="7">
        <f t="shared" si="2"/>
        <v>37973058.64000001</v>
      </c>
      <c r="H23" s="7">
        <f>SUM(H17:H22)</f>
        <v>35409009.8</v>
      </c>
      <c r="I23" s="7">
        <f t="shared" si="2"/>
        <v>32967468</v>
      </c>
      <c r="J23" s="7">
        <f t="shared" si="2"/>
        <v>32769732.359920003</v>
      </c>
      <c r="K23" s="7">
        <f t="shared" si="2"/>
        <v>26690034</v>
      </c>
      <c r="L23" s="7">
        <f t="shared" si="2"/>
        <v>24896425</v>
      </c>
      <c r="M23" s="7">
        <f t="shared" si="2"/>
        <v>23566281</v>
      </c>
      <c r="N23" s="7">
        <f>SUM(N17:N22)</f>
        <v>18613406</v>
      </c>
      <c r="O23" s="7">
        <f t="shared" si="2"/>
        <v>17615085</v>
      </c>
      <c r="P23" s="7">
        <f t="shared" si="2"/>
        <v>17171237.73</v>
      </c>
      <c r="Q23" s="7">
        <f t="shared" si="2"/>
        <v>17441942</v>
      </c>
      <c r="R23" s="7">
        <f>SUM(R17:R22)</f>
        <v>15220852</v>
      </c>
      <c r="S23" s="7">
        <f t="shared" si="2"/>
        <v>15132709</v>
      </c>
      <c r="T23" s="7">
        <f t="shared" si="2"/>
        <v>14775416</v>
      </c>
      <c r="U23" s="7">
        <f t="shared" si="2"/>
        <v>13693673.4</v>
      </c>
      <c r="V23" s="7">
        <f>SUM(V17:V22)</f>
        <v>12040776.669</v>
      </c>
      <c r="W23" s="7">
        <f>SUM(W17:W22)</f>
        <v>11093360</v>
      </c>
      <c r="X23" s="7">
        <f t="shared" si="2"/>
        <v>7467275</v>
      </c>
      <c r="Y23" s="7">
        <f>SUM(Y17:Y22)</f>
        <v>10317779.117999999</v>
      </c>
      <c r="Z23" s="7">
        <f t="shared" si="2"/>
        <v>10098965</v>
      </c>
      <c r="AA23" s="7">
        <f t="shared" si="2"/>
        <v>8663061.248000002</v>
      </c>
      <c r="AB23" s="7">
        <f t="shared" si="2"/>
        <v>7076697</v>
      </c>
      <c r="AC23" s="7">
        <f t="shared" si="2"/>
        <v>3991697.716</v>
      </c>
      <c r="AD23" s="7">
        <f t="shared" si="2"/>
        <v>3099318</v>
      </c>
      <c r="AE23" s="7">
        <f t="shared" si="2"/>
        <v>2464369</v>
      </c>
      <c r="AF23" s="7">
        <f t="shared" si="2"/>
        <v>2439030</v>
      </c>
      <c r="AG23" s="7">
        <f t="shared" si="2"/>
        <v>2418160</v>
      </c>
      <c r="AH23" s="7">
        <f>SUM(AH17:AH22)</f>
        <v>1724007</v>
      </c>
      <c r="AI23" s="7">
        <f t="shared" si="2"/>
        <v>1711784</v>
      </c>
      <c r="AJ23" s="7">
        <f t="shared" si="2"/>
        <v>1618589</v>
      </c>
      <c r="AK23" s="7">
        <f t="shared" si="2"/>
        <v>1476718</v>
      </c>
      <c r="AL23" s="7">
        <f t="shared" si="2"/>
        <v>1300567</v>
      </c>
      <c r="AM23" s="7">
        <f t="shared" si="2"/>
        <v>944832</v>
      </c>
      <c r="AN23" s="7">
        <f t="shared" si="2"/>
        <v>703193</v>
      </c>
      <c r="AO23" s="7">
        <f t="shared" si="2"/>
        <v>612986.523</v>
      </c>
      <c r="AP23" s="7">
        <f t="shared" si="2"/>
        <v>543214</v>
      </c>
      <c r="AQ23" s="7">
        <f t="shared" si="2"/>
        <v>511933</v>
      </c>
      <c r="AR23" s="7">
        <f t="shared" si="2"/>
        <v>411097</v>
      </c>
      <c r="AS23" s="7">
        <f t="shared" si="2"/>
        <v>394940.687</v>
      </c>
      <c r="AT23" s="7">
        <f t="shared" si="2"/>
        <v>186148</v>
      </c>
      <c r="AU23" s="7">
        <f t="shared" si="2"/>
        <v>43404</v>
      </c>
      <c r="AV23" s="7">
        <f>SUM(AV17:AV22)</f>
        <v>8639</v>
      </c>
      <c r="AW23" s="7">
        <f t="shared" si="2"/>
        <v>14204</v>
      </c>
      <c r="AY23" s="7">
        <f t="shared" si="1"/>
        <v>960862507.7409201</v>
      </c>
      <c r="AZ23" s="7"/>
    </row>
    <row r="24" spans="1:52" ht="12.75">
      <c r="A24" s="218" t="s">
        <v>240</v>
      </c>
      <c r="B24" s="7">
        <f>+SUM(B9:B14)+B23</f>
        <v>178173769</v>
      </c>
      <c r="C24" s="7">
        <f aca="true" t="shared" si="3" ref="C24:AW24">+SUM(C9:C14)+C23</f>
        <v>144646289</v>
      </c>
      <c r="D24" s="7">
        <f t="shared" si="3"/>
        <v>75195111.85</v>
      </c>
      <c r="E24" s="7">
        <f t="shared" si="3"/>
        <v>67289436</v>
      </c>
      <c r="F24" s="7">
        <f t="shared" si="3"/>
        <v>59165305</v>
      </c>
      <c r="G24" s="7">
        <f t="shared" si="3"/>
        <v>38049858.64000001</v>
      </c>
      <c r="H24" s="7">
        <f>+SUM(H9:H14)+H23</f>
        <v>35409009.8</v>
      </c>
      <c r="I24" s="7">
        <f t="shared" si="3"/>
        <v>32967468</v>
      </c>
      <c r="J24" s="7">
        <f t="shared" si="3"/>
        <v>32769732.359920003</v>
      </c>
      <c r="K24" s="7">
        <f t="shared" si="3"/>
        <v>26760379</v>
      </c>
      <c r="L24" s="7">
        <f t="shared" si="3"/>
        <v>24896425</v>
      </c>
      <c r="M24" s="7">
        <f t="shared" si="3"/>
        <v>23639994</v>
      </c>
      <c r="N24" s="7">
        <f>+SUM(N9:N14)+N23</f>
        <v>18613406</v>
      </c>
      <c r="O24" s="7">
        <f t="shared" si="3"/>
        <v>17675638</v>
      </c>
      <c r="P24" s="7">
        <f t="shared" si="3"/>
        <v>17208117.73</v>
      </c>
      <c r="Q24" s="7">
        <f t="shared" si="3"/>
        <v>17441942</v>
      </c>
      <c r="R24" s="7">
        <f>+SUM(R9:R14)+R23</f>
        <v>15235862</v>
      </c>
      <c r="S24" s="7">
        <f t="shared" si="3"/>
        <v>15132709</v>
      </c>
      <c r="T24" s="7">
        <f t="shared" si="3"/>
        <v>14828369</v>
      </c>
      <c r="U24" s="7">
        <f t="shared" si="3"/>
        <v>13693673.4</v>
      </c>
      <c r="V24" s="7">
        <f>+SUM(V9:V14)+V23</f>
        <v>12040776.669</v>
      </c>
      <c r="W24" s="7">
        <f>+SUM(W9:W14)+W23</f>
        <v>11111328</v>
      </c>
      <c r="X24" s="7">
        <f t="shared" si="3"/>
        <v>7467275</v>
      </c>
      <c r="Y24" s="7">
        <f>+SUM(Y9:Y14)+Y23</f>
        <v>10317779.117999999</v>
      </c>
      <c r="Z24" s="7">
        <f t="shared" si="3"/>
        <v>10098965</v>
      </c>
      <c r="AA24" s="7">
        <f t="shared" si="3"/>
        <v>8663061.248000002</v>
      </c>
      <c r="AB24" s="7">
        <f t="shared" si="3"/>
        <v>7088107</v>
      </c>
      <c r="AC24" s="7">
        <f t="shared" si="3"/>
        <v>3991697.716</v>
      </c>
      <c r="AD24" s="7">
        <f t="shared" si="3"/>
        <v>3099318</v>
      </c>
      <c r="AE24" s="7">
        <f t="shared" si="3"/>
        <v>2476538</v>
      </c>
      <c r="AF24" s="7">
        <f t="shared" si="3"/>
        <v>2439030</v>
      </c>
      <c r="AG24" s="7">
        <f t="shared" si="3"/>
        <v>2418160</v>
      </c>
      <c r="AH24" s="7">
        <f>+SUM(AH9:AH14)+AH23</f>
        <v>1724007</v>
      </c>
      <c r="AI24" s="7">
        <f t="shared" si="3"/>
        <v>1711784</v>
      </c>
      <c r="AJ24" s="7">
        <f t="shared" si="3"/>
        <v>1618589</v>
      </c>
      <c r="AK24" s="7">
        <f t="shared" si="3"/>
        <v>1476718</v>
      </c>
      <c r="AL24" s="7">
        <f t="shared" si="3"/>
        <v>1300567</v>
      </c>
      <c r="AM24" s="7">
        <f t="shared" si="3"/>
        <v>944832</v>
      </c>
      <c r="AN24" s="7">
        <f t="shared" si="3"/>
        <v>703193</v>
      </c>
      <c r="AO24" s="7">
        <f t="shared" si="3"/>
        <v>612986.523</v>
      </c>
      <c r="AP24" s="7">
        <f t="shared" si="3"/>
        <v>543214</v>
      </c>
      <c r="AQ24" s="7">
        <f t="shared" si="3"/>
        <v>511933</v>
      </c>
      <c r="AR24" s="7">
        <f t="shared" si="3"/>
        <v>411097</v>
      </c>
      <c r="AS24" s="7">
        <f t="shared" si="3"/>
        <v>394940.687</v>
      </c>
      <c r="AT24" s="7">
        <f t="shared" si="3"/>
        <v>186148</v>
      </c>
      <c r="AU24" s="7">
        <f t="shared" si="3"/>
        <v>43404</v>
      </c>
      <c r="AV24" s="7">
        <f>+SUM(AV9:AV14)+AV23</f>
        <v>8639</v>
      </c>
      <c r="AW24" s="7">
        <f t="shared" si="3"/>
        <v>14204</v>
      </c>
      <c r="AY24" s="7">
        <f t="shared" si="1"/>
        <v>962210786.7409201</v>
      </c>
      <c r="AZ24" s="7"/>
    </row>
    <row r="25" spans="1:52" ht="12" customHeight="1">
      <c r="A25" s="6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Y25" s="7"/>
      <c r="AZ25" s="7"/>
    </row>
    <row r="26" spans="1:52" ht="12.75">
      <c r="A26" s="9" t="s">
        <v>241</v>
      </c>
      <c r="E26" s="11"/>
      <c r="F26" s="11"/>
      <c r="G26" s="11"/>
      <c r="N26" s="19"/>
      <c r="Q26" s="11"/>
      <c r="R26" s="11"/>
      <c r="S26" s="11"/>
      <c r="T26" s="11"/>
      <c r="U26" s="11"/>
      <c r="V26" s="8"/>
      <c r="X26" s="11"/>
      <c r="Z26" s="11"/>
      <c r="AB26" s="11"/>
      <c r="AC26" s="19"/>
      <c r="AF26" s="11"/>
      <c r="AG26" s="11"/>
      <c r="AI26" s="11"/>
      <c r="AK26" s="11"/>
      <c r="AL26" s="11"/>
      <c r="AM26" s="11"/>
      <c r="AN26" s="11"/>
      <c r="AP26" s="11"/>
      <c r="AQ26" s="11"/>
      <c r="AR26" s="11"/>
      <c r="AS26" s="11"/>
      <c r="AT26" s="11"/>
      <c r="AU26" s="11"/>
      <c r="AY26" s="7"/>
      <c r="AZ26" s="7"/>
    </row>
    <row r="27" spans="1:52" ht="12.75">
      <c r="A27" s="10" t="s">
        <v>242</v>
      </c>
      <c r="B27" s="8">
        <f>+'4.1. Samtryggingard.'!B90+'4.1. Samtryggingard.'!C90+'5.1. Séreignard.'!B91+'5.1. Séreignard.'!C91+'5.1. Séreignard.'!D91</f>
        <v>0</v>
      </c>
      <c r="C27" s="8">
        <f>+'4.1. Samtryggingard.'!D90+'5.1. Séreignard.'!E91</f>
        <v>0</v>
      </c>
      <c r="D27" s="8">
        <f>+'4.1. Samtryggingard.'!E90+'5.1. Séreignard.'!F91+'5.1. Séreignard.'!G91</f>
        <v>0</v>
      </c>
      <c r="E27" s="8">
        <f>+'4.1. Samtryggingard.'!F90+'5.1. Séreignard.'!H91+'5.1. Séreignard.'!I91+'5.1. Séreignard.'!J91</f>
        <v>0</v>
      </c>
      <c r="F27" s="8">
        <f>+'4.1. Samtryggingard.'!G90+'4.1. Samtryggingard.'!H90+'5.1. Séreignard.'!K91+'5.1. Séreignard.'!L91</f>
        <v>0</v>
      </c>
      <c r="G27" s="8">
        <f>+'4.1. Samtryggingard.'!I90+'5.1. Séreignard.'!M91+'5.1. Séreignard.'!N91</f>
        <v>0</v>
      </c>
      <c r="H27" s="8">
        <f>+'4.1. Samtryggingard.'!J90+'5.1. Séreignard.'!O91+'5.1. Séreignard.'!P91+'5.1. Séreignard.'!Q91</f>
        <v>0</v>
      </c>
      <c r="I27" s="8">
        <f>+'4.1. Samtryggingard.'!K90+'5.1. Séreignard.'!R91</f>
        <v>0</v>
      </c>
      <c r="J27" s="8">
        <f>+'4.1. Samtryggingard.'!L90+'5.1. Séreignard.'!S91+'5.1. Séreignard.'!T91+'5.1. Séreignard.'!U91+'5.1. Séreignard.'!V91</f>
        <v>0</v>
      </c>
      <c r="K27" s="8">
        <f>+'4.1. Samtryggingard.'!M90+'5.1. Séreignard.'!W91+'5.1. Séreignard.'!X91</f>
        <v>0</v>
      </c>
      <c r="L27" s="8">
        <f>+'4.1. Samtryggingard.'!N90+'4.1. Samtryggingard.'!O90</f>
        <v>0</v>
      </c>
      <c r="M27" s="8">
        <f>+'4.1. Samtryggingard.'!P90+'4.1. Samtryggingard.'!Q90+'5.1. Séreignard.'!Y91</f>
        <v>0</v>
      </c>
      <c r="N27" s="8">
        <f>+'4.1. Samtryggingard.'!R90</f>
        <v>0</v>
      </c>
      <c r="O27" s="8">
        <f>+'4.1. Samtryggingard.'!S90+'5.1. Séreignard.'!Z91</f>
        <v>0</v>
      </c>
      <c r="P27" s="8">
        <f>+'4.1. Samtryggingard.'!T90+'5.1. Séreignard.'!AA91</f>
        <v>0</v>
      </c>
      <c r="Q27" s="8">
        <f>+'4.1. Samtryggingard.'!U90+'5.1. Séreignard.'!AB91</f>
        <v>0</v>
      </c>
      <c r="R27" s="8">
        <f>+'4.1. Samtryggingard.'!V90</f>
        <v>0</v>
      </c>
      <c r="S27" s="8">
        <f>+'4.1. Samtryggingard.'!W90</f>
        <v>0</v>
      </c>
      <c r="T27" s="8">
        <f>+'4.1. Samtryggingard.'!X90+'5.1. Séreignard.'!AC91+'5.1. Séreignard.'!AD91</f>
        <v>0</v>
      </c>
      <c r="U27" s="8">
        <f>+'4.1. Samtryggingard.'!Y90</f>
        <v>0</v>
      </c>
      <c r="V27" s="8">
        <f>+'4.1. Samtryggingard.'!Z90+'4.1. Samtryggingard.'!AA90+'5.1. Séreignard.'!AE91+'5.1. Séreignard.'!AF91+'5.1. Séreignard.'!AG91</f>
        <v>0</v>
      </c>
      <c r="W27" s="8">
        <f>+'4.1. Samtryggingard.'!AB90+'5.1. Séreignard.'!AH91</f>
        <v>0</v>
      </c>
      <c r="X27" s="8">
        <f>+'4.1. Samtryggingard.'!AC90</f>
        <v>0</v>
      </c>
      <c r="Y27" s="8">
        <f>+'4.1. Samtryggingard.'!AD90+'5.1. Séreignard.'!AI91+'5.1. Séreignard.'!AJ91+'5.1. Séreignard.'!AK91+'5.1. Séreignard.'!AL91</f>
        <v>0</v>
      </c>
      <c r="Z27" s="8">
        <f>+'4.1. Samtryggingard.'!AE90</f>
        <v>0</v>
      </c>
      <c r="AA27" s="8">
        <f>+'4.1. Samtryggingard.'!AF90</f>
        <v>0</v>
      </c>
      <c r="AB27" s="8">
        <f>+'4.1. Samtryggingard.'!AG90</f>
        <v>0</v>
      </c>
      <c r="AC27" s="8">
        <f>+'4.1. Samtryggingard.'!AH90</f>
        <v>0</v>
      </c>
      <c r="AD27" s="8">
        <f>+'4.1. Samtryggingard.'!AI90+'4.1. Samtryggingard.'!AJ90</f>
        <v>0</v>
      </c>
      <c r="AE27" s="8">
        <f>+'4.1. Samtryggingard.'!AK90+'5.1. Séreignard.'!AM91</f>
        <v>0</v>
      </c>
      <c r="AF27" s="8">
        <f>+'4.1. Samtryggingard.'!AL90</f>
        <v>0</v>
      </c>
      <c r="AG27" s="8">
        <f>+'4.1. Samtryggingard.'!AM90</f>
        <v>0</v>
      </c>
      <c r="AH27" s="8">
        <f>+'4.1. Samtryggingard.'!AN90+'5.1. Séreignard.'!AN91</f>
        <v>0</v>
      </c>
      <c r="AI27" s="8">
        <f>+'4.1. Samtryggingard.'!AO90</f>
        <v>0</v>
      </c>
      <c r="AJ27" s="8">
        <f>+'4.1. Samtryggingard.'!AP90</f>
        <v>0</v>
      </c>
      <c r="AK27" s="8">
        <f>+'4.1. Samtryggingard.'!AQ90</f>
        <v>0</v>
      </c>
      <c r="AL27" s="8">
        <f>+'4.1. Samtryggingard.'!AR90</f>
        <v>0</v>
      </c>
      <c r="AM27" s="8">
        <f>+'4.1. Samtryggingard.'!AS90</f>
        <v>0</v>
      </c>
      <c r="AN27" s="8">
        <f>+'4.1. Samtryggingard.'!AT90</f>
        <v>0</v>
      </c>
      <c r="AO27" s="8">
        <f>+'4.1. Samtryggingard.'!AU90</f>
        <v>0</v>
      </c>
      <c r="AP27" s="8">
        <f>+'4.1. Samtryggingard.'!AV90</f>
        <v>0</v>
      </c>
      <c r="AQ27" s="8">
        <f>+'4.1. Samtryggingard.'!AW90</f>
        <v>0</v>
      </c>
      <c r="AR27" s="8">
        <f>+'4.1. Samtryggingard.'!AX90</f>
        <v>0</v>
      </c>
      <c r="AS27" s="8">
        <f>+'4.1. Samtryggingard.'!AY90</f>
        <v>0</v>
      </c>
      <c r="AT27" s="8">
        <f>+'4.1. Samtryggingard.'!AZ90</f>
        <v>0</v>
      </c>
      <c r="AU27" s="8">
        <f>+'4.1. Samtryggingard.'!BA90</f>
        <v>0</v>
      </c>
      <c r="AV27" s="8">
        <f>+'4.1. Samtryggingard.'!BB90</f>
        <v>0</v>
      </c>
      <c r="AW27" s="8">
        <f>+'4.1. Samtryggingard.'!BC90</f>
        <v>0</v>
      </c>
      <c r="AY27" s="7">
        <f>SUM(B27:AW27)</f>
        <v>0</v>
      </c>
      <c r="AZ27" s="7"/>
    </row>
    <row r="28" spans="1:52" ht="12.75">
      <c r="A28" s="10" t="s">
        <v>243</v>
      </c>
      <c r="B28" s="8">
        <f>+'4.1. Samtryggingard.'!B91+'4.1. Samtryggingard.'!C91+'5.1. Séreignard.'!B92+'5.1. Séreignard.'!C92+'5.1. Séreignard.'!D92</f>
        <v>435808</v>
      </c>
      <c r="C28" s="8">
        <f>+'4.1. Samtryggingard.'!D91+'5.1. Séreignard.'!E92</f>
        <v>978000</v>
      </c>
      <c r="D28" s="8">
        <f>+'4.1. Samtryggingard.'!E91+'5.1. Séreignard.'!F92+'5.1. Séreignard.'!G92</f>
        <v>500000</v>
      </c>
      <c r="E28" s="8">
        <f>+'4.1. Samtryggingard.'!F91+'5.1. Séreignard.'!H92+'5.1. Séreignard.'!I92+'5.1. Séreignard.'!J92</f>
        <v>129482</v>
      </c>
      <c r="F28" s="8">
        <f>+'4.1. Samtryggingard.'!G91+'4.1. Samtryggingard.'!H91+'5.1. Séreignard.'!K92+'5.1. Séreignard.'!L92</f>
        <v>255156</v>
      </c>
      <c r="G28" s="8">
        <f>+'4.1. Samtryggingard.'!I91+'5.1. Séreignard.'!M92+'5.1. Séreignard.'!N92</f>
        <v>267548.65599999996</v>
      </c>
      <c r="H28" s="8">
        <f>+'4.1. Samtryggingard.'!J91+'5.1. Séreignard.'!O92+'5.1. Séreignard.'!P92+'5.1. Séreignard.'!Q92</f>
        <v>2468.5</v>
      </c>
      <c r="I28" s="8">
        <f>+'4.1. Samtryggingard.'!K91+'5.1. Séreignard.'!R92</f>
        <v>358652</v>
      </c>
      <c r="J28" s="8">
        <f>+'4.1. Samtryggingard.'!L91+'5.1. Séreignard.'!S92+'5.1. Séreignard.'!T92+'5.1. Séreignard.'!U92+'5.1. Séreignard.'!V92</f>
        <v>120761</v>
      </c>
      <c r="K28" s="8">
        <f>+'4.1. Samtryggingard.'!M91+'5.1. Séreignard.'!W92+'5.1. Séreignard.'!X92</f>
        <v>222605</v>
      </c>
      <c r="L28" s="8">
        <f>+'4.1. Samtryggingard.'!N91+'4.1. Samtryggingard.'!O91</f>
        <v>0</v>
      </c>
      <c r="M28" s="8">
        <f>+'4.1. Samtryggingard.'!P91+'4.1. Samtryggingard.'!Q91+'5.1. Séreignard.'!Y92</f>
        <v>58003</v>
      </c>
      <c r="N28" s="8">
        <f>+'4.1. Samtryggingard.'!R91</f>
        <v>0</v>
      </c>
      <c r="O28" s="8">
        <f>+'4.1. Samtryggingard.'!S91+'5.1. Séreignard.'!Z92</f>
        <v>120338</v>
      </c>
      <c r="P28" s="8">
        <f>+'4.1. Samtryggingard.'!T91+'5.1. Séreignard.'!AA92</f>
        <v>330540</v>
      </c>
      <c r="Q28" s="8">
        <f>+'4.1. Samtryggingard.'!U91+'5.1. Séreignard.'!AB92</f>
        <v>139961</v>
      </c>
      <c r="R28" s="8">
        <f>+'4.1. Samtryggingard.'!V91</f>
        <v>49145</v>
      </c>
      <c r="S28" s="8">
        <f>+'4.1. Samtryggingard.'!W91</f>
        <v>184025</v>
      </c>
      <c r="T28" s="8">
        <f>+'4.1. Samtryggingard.'!X91+'5.1. Séreignard.'!AC92+'5.1. Séreignard.'!AD92</f>
        <v>68001</v>
      </c>
      <c r="U28" s="8">
        <f>+'4.1. Samtryggingard.'!Y91</f>
        <v>52057.06</v>
      </c>
      <c r="V28" s="8">
        <f>+'4.1. Samtryggingard.'!Z91+'4.1. Samtryggingard.'!AA91+'5.1. Séreignard.'!AE92+'5.1. Séreignard.'!AF92+'5.1. Séreignard.'!AG92</f>
        <v>172420.704</v>
      </c>
      <c r="W28" s="8">
        <f>+'4.1. Samtryggingard.'!AB91+'5.1. Séreignard.'!AH92</f>
        <v>85259</v>
      </c>
      <c r="X28" s="8">
        <f>+'4.1. Samtryggingard.'!AC91</f>
        <v>3424792.825</v>
      </c>
      <c r="Y28" s="8">
        <f>+'4.1. Samtryggingard.'!AD91+'5.1. Séreignard.'!AI92+'5.1. Séreignard.'!AJ92+'5.1. Séreignard.'!AK92+'5.1. Séreignard.'!AL92</f>
        <v>24405.019999999997</v>
      </c>
      <c r="Z28" s="8">
        <f>+'4.1. Samtryggingard.'!AE91</f>
        <v>59824</v>
      </c>
      <c r="AA28" s="8">
        <f>+'4.1. Samtryggingard.'!AF91</f>
        <v>0</v>
      </c>
      <c r="AB28" s="8">
        <f>+'4.1. Samtryggingard.'!AG91</f>
        <v>44500</v>
      </c>
      <c r="AC28" s="8">
        <f>+'4.1. Samtryggingard.'!AH91</f>
        <v>100000</v>
      </c>
      <c r="AD28" s="8">
        <f>+'4.1. Samtryggingard.'!AI91+'4.1. Samtryggingard.'!AJ91</f>
        <v>0</v>
      </c>
      <c r="AE28" s="8">
        <f>+'4.1. Samtryggingard.'!AK91+'5.1. Séreignard.'!AM92</f>
        <v>10741</v>
      </c>
      <c r="AF28" s="8">
        <f>+'4.1. Samtryggingard.'!AL91</f>
        <v>14334</v>
      </c>
      <c r="AG28" s="8">
        <f>+'4.1. Samtryggingard.'!AM91</f>
        <v>0</v>
      </c>
      <c r="AH28" s="8">
        <f>+'4.1. Samtryggingard.'!AN91+'5.1. Séreignard.'!AN92</f>
        <v>0</v>
      </c>
      <c r="AI28" s="8">
        <f>+'4.1. Samtryggingard.'!AO91</f>
        <v>0</v>
      </c>
      <c r="AJ28" s="8">
        <f>+'4.1. Samtryggingard.'!AP91</f>
        <v>0</v>
      </c>
      <c r="AK28" s="8">
        <f>+'4.1. Samtryggingard.'!AQ91</f>
        <v>0</v>
      </c>
      <c r="AL28" s="8">
        <f>+'4.1. Samtryggingard.'!AR91</f>
        <v>11148</v>
      </c>
      <c r="AM28" s="8">
        <f>+'4.1. Samtryggingard.'!AS91</f>
        <v>0</v>
      </c>
      <c r="AN28" s="8">
        <f>+'4.1. Samtryggingard.'!AT91</f>
        <v>0</v>
      </c>
      <c r="AO28" s="8">
        <f>+'4.1. Samtryggingard.'!AU91</f>
        <v>0</v>
      </c>
      <c r="AP28" s="8">
        <f>+'4.1. Samtryggingard.'!AV91</f>
        <v>1217</v>
      </c>
      <c r="AQ28" s="8">
        <f>+'4.1. Samtryggingard.'!AW91</f>
        <v>0</v>
      </c>
      <c r="AR28" s="8">
        <f>+'4.1. Samtryggingard.'!AX91</f>
        <v>0</v>
      </c>
      <c r="AS28" s="8">
        <f>+'4.1. Samtryggingard.'!AY91</f>
        <v>2418.698</v>
      </c>
      <c r="AT28" s="8">
        <f>+'4.1. Samtryggingard.'!AZ91</f>
        <v>0</v>
      </c>
      <c r="AU28" s="8">
        <f>+'4.1. Samtryggingard.'!BA91</f>
        <v>0</v>
      </c>
      <c r="AV28" s="8">
        <f>+'4.1. Samtryggingard.'!BB91</f>
        <v>0</v>
      </c>
      <c r="AW28" s="8">
        <f>+'4.1. Samtryggingard.'!BC91</f>
        <v>0</v>
      </c>
      <c r="AY28" s="7">
        <f>SUM(B28:AW28)</f>
        <v>8223611.462999999</v>
      </c>
      <c r="AZ28" s="7"/>
    </row>
    <row r="29" spans="1:52" ht="12.75">
      <c r="A29" s="10" t="s">
        <v>244</v>
      </c>
      <c r="B29" s="8">
        <f>+'4.1. Samtryggingard.'!B92+'4.1. Samtryggingard.'!C92+'5.1. Séreignard.'!B93+'5.1. Séreignard.'!C93+'5.1. Séreignard.'!D93</f>
        <v>246621.9</v>
      </c>
      <c r="C29" s="8">
        <f>+'4.1. Samtryggingard.'!D92+'5.1. Séreignard.'!E93</f>
        <v>832577</v>
      </c>
      <c r="D29" s="8">
        <f>+'4.1. Samtryggingard.'!E92+'5.1. Séreignard.'!F93+'5.1. Séreignard.'!G93</f>
        <v>474979.824</v>
      </c>
      <c r="E29" s="8">
        <f>+'4.1. Samtryggingard.'!F92+'5.1. Séreignard.'!H93+'5.1. Séreignard.'!I93+'5.1. Séreignard.'!J93</f>
        <v>500752</v>
      </c>
      <c r="F29" s="8">
        <f>+'4.1. Samtryggingard.'!G92+'4.1. Samtryggingard.'!H92+'5.1. Séreignard.'!K93+'5.1. Séreignard.'!L93</f>
        <v>1503247</v>
      </c>
      <c r="G29" s="8">
        <f>+'4.1. Samtryggingard.'!I92+'5.1. Séreignard.'!M93+'5.1. Séreignard.'!N93</f>
        <v>17490.059</v>
      </c>
      <c r="H29" s="8">
        <f>+'4.1. Samtryggingard.'!J92+'5.1. Séreignard.'!O93+'5.1. Séreignard.'!P93+'5.1. Séreignard.'!Q93</f>
        <v>304134.5</v>
      </c>
      <c r="I29" s="8">
        <f>+'4.1. Samtryggingard.'!K92+'5.1. Séreignard.'!R93</f>
        <v>0</v>
      </c>
      <c r="J29" s="8">
        <f>+'4.1. Samtryggingard.'!L92+'5.1. Séreignard.'!S93+'5.1. Séreignard.'!T93+'5.1. Séreignard.'!U93+'5.1. Séreignard.'!V93</f>
        <v>100885.398</v>
      </c>
      <c r="K29" s="8">
        <f>+'4.1. Samtryggingard.'!M92+'5.1. Séreignard.'!W93+'5.1. Séreignard.'!X93</f>
        <v>43380</v>
      </c>
      <c r="L29" s="8">
        <f>+'4.1. Samtryggingard.'!N92+'4.1. Samtryggingard.'!O92</f>
        <v>15934</v>
      </c>
      <c r="M29" s="8">
        <f>+'4.1. Samtryggingard.'!P92+'4.1. Samtryggingard.'!Q92+'5.1. Séreignard.'!Y93</f>
        <v>87947</v>
      </c>
      <c r="N29" s="8">
        <f>+'4.1. Samtryggingard.'!R92</f>
        <v>5892</v>
      </c>
      <c r="O29" s="8">
        <f>+'4.1. Samtryggingard.'!S92+'5.1. Séreignard.'!Z93</f>
        <v>40477.5</v>
      </c>
      <c r="P29" s="8">
        <f>+'4.1. Samtryggingard.'!T92+'5.1. Séreignard.'!AA93</f>
        <v>124172.286</v>
      </c>
      <c r="Q29" s="8">
        <f>+'4.1. Samtryggingard.'!U92+'5.1. Séreignard.'!AB93</f>
        <v>3199</v>
      </c>
      <c r="R29" s="8">
        <f>+'4.1. Samtryggingard.'!V92</f>
        <v>17973</v>
      </c>
      <c r="S29" s="8">
        <f>+'4.1. Samtryggingard.'!W92</f>
        <v>6868</v>
      </c>
      <c r="T29" s="8">
        <f>+'4.1. Samtryggingard.'!X92+'5.1. Séreignard.'!AC93+'5.1. Séreignard.'!AD93</f>
        <v>7894</v>
      </c>
      <c r="U29" s="8">
        <f>+'4.1. Samtryggingard.'!Y92</f>
        <v>12772.3</v>
      </c>
      <c r="V29" s="8">
        <f>+'4.1. Samtryggingard.'!Z92+'4.1. Samtryggingard.'!AA92+'5.1. Séreignard.'!AE93+'5.1. Séreignard.'!AF93+'5.1. Séreignard.'!AG93</f>
        <v>14482.973</v>
      </c>
      <c r="W29" s="8">
        <f>+'4.1. Samtryggingard.'!AB92+'5.1. Séreignard.'!AH93</f>
        <v>74364</v>
      </c>
      <c r="X29" s="8">
        <f>+'4.1. Samtryggingard.'!AC92</f>
        <v>0</v>
      </c>
      <c r="Y29" s="8">
        <f>+'4.1. Samtryggingard.'!AD92+'5.1. Séreignard.'!AI93+'5.1. Séreignard.'!AJ93+'5.1. Séreignard.'!AK93+'5.1. Séreignard.'!AL93</f>
        <v>13140.775000000001</v>
      </c>
      <c r="Z29" s="8">
        <f>+'4.1. Samtryggingard.'!AE92</f>
        <v>6581</v>
      </c>
      <c r="AA29" s="8">
        <f>+'4.1. Samtryggingard.'!AF92</f>
        <v>16582.004</v>
      </c>
      <c r="AB29" s="8">
        <f>+'4.1. Samtryggingard.'!AG92</f>
        <v>0</v>
      </c>
      <c r="AC29" s="8">
        <f>+'4.1. Samtryggingard.'!AH92</f>
        <v>3327</v>
      </c>
      <c r="AD29" s="8">
        <f>+'4.1. Samtryggingard.'!AI92+'4.1. Samtryggingard.'!AJ92</f>
        <v>1121</v>
      </c>
      <c r="AE29" s="8">
        <f>+'4.1. Samtryggingard.'!AK92+'5.1. Séreignard.'!AM93</f>
        <v>1503</v>
      </c>
      <c r="AF29" s="8">
        <f>+'4.1. Samtryggingard.'!AL92</f>
        <v>0</v>
      </c>
      <c r="AG29" s="8">
        <f>+'4.1. Samtryggingard.'!AM92</f>
        <v>0</v>
      </c>
      <c r="AH29" s="8">
        <f>+'4.1. Samtryggingard.'!AN92+'5.1. Séreignard.'!AN93</f>
        <v>122829</v>
      </c>
      <c r="AI29" s="8">
        <f>+'4.1. Samtryggingard.'!AO92</f>
        <v>18160</v>
      </c>
      <c r="AJ29" s="8">
        <f>+'4.1. Samtryggingard.'!AP92</f>
        <v>1635</v>
      </c>
      <c r="AK29" s="8">
        <f>+'4.1. Samtryggingard.'!AQ92</f>
        <v>3365</v>
      </c>
      <c r="AL29" s="8">
        <f>+'4.1. Samtryggingard.'!AR92</f>
        <v>0</v>
      </c>
      <c r="AM29" s="8">
        <f>+'4.1. Samtryggingard.'!AS92</f>
        <v>2016</v>
      </c>
      <c r="AN29" s="8">
        <f>+'4.1. Samtryggingard.'!AT92</f>
        <v>178</v>
      </c>
      <c r="AO29" s="8">
        <f>+'4.1. Samtryggingard.'!AU92</f>
        <v>79.027</v>
      </c>
      <c r="AP29" s="8">
        <f>+'4.1. Samtryggingard.'!AV92</f>
        <v>0</v>
      </c>
      <c r="AQ29" s="8">
        <f>+'4.1. Samtryggingard.'!AW92</f>
        <v>178</v>
      </c>
      <c r="AR29" s="8">
        <f>+'4.1. Samtryggingard.'!AX92</f>
        <v>0</v>
      </c>
      <c r="AS29" s="8">
        <f>+'4.1. Samtryggingard.'!AY92</f>
        <v>0</v>
      </c>
      <c r="AT29" s="8">
        <f>+'4.1. Samtryggingard.'!AZ92</f>
        <v>0</v>
      </c>
      <c r="AU29" s="8">
        <f>+'4.1. Samtryggingard.'!BA92</f>
        <v>0</v>
      </c>
      <c r="AV29" s="8">
        <f>+'4.1. Samtryggingard.'!BB92</f>
        <v>0</v>
      </c>
      <c r="AW29" s="8">
        <f>+'4.1. Samtryggingard.'!BC92</f>
        <v>0</v>
      </c>
      <c r="AY29" s="7">
        <f>SUM(B29:AW29)</f>
        <v>4626738.546</v>
      </c>
      <c r="AZ29" s="7"/>
    </row>
    <row r="30" spans="1:52" ht="12.75">
      <c r="A30" s="218" t="s">
        <v>245</v>
      </c>
      <c r="B30" s="7">
        <f>SUM(B27:B29)</f>
        <v>682429.9</v>
      </c>
      <c r="C30" s="7">
        <f aca="true" t="shared" si="4" ref="C30:AW30">SUM(C27:C29)</f>
        <v>1810577</v>
      </c>
      <c r="D30" s="7">
        <f t="shared" si="4"/>
        <v>974979.824</v>
      </c>
      <c r="E30" s="7">
        <f t="shared" si="4"/>
        <v>630234</v>
      </c>
      <c r="F30" s="7">
        <f t="shared" si="4"/>
        <v>1758403</v>
      </c>
      <c r="G30" s="7">
        <f t="shared" si="4"/>
        <v>285038.71499999997</v>
      </c>
      <c r="H30" s="7">
        <f>SUM(H27:H29)</f>
        <v>306603</v>
      </c>
      <c r="I30" s="7">
        <f t="shared" si="4"/>
        <v>358652</v>
      </c>
      <c r="J30" s="7">
        <f t="shared" si="4"/>
        <v>221646.398</v>
      </c>
      <c r="K30" s="7">
        <f t="shared" si="4"/>
        <v>265985</v>
      </c>
      <c r="L30" s="7">
        <f t="shared" si="4"/>
        <v>15934</v>
      </c>
      <c r="M30" s="7">
        <f t="shared" si="4"/>
        <v>145950</v>
      </c>
      <c r="N30" s="7">
        <f>SUM(N27:N29)</f>
        <v>5892</v>
      </c>
      <c r="O30" s="7">
        <f t="shared" si="4"/>
        <v>160815.5</v>
      </c>
      <c r="P30" s="7">
        <f t="shared" si="4"/>
        <v>454712.28599999996</v>
      </c>
      <c r="Q30" s="7">
        <f t="shared" si="4"/>
        <v>143160</v>
      </c>
      <c r="R30" s="7">
        <f>SUM(R27:R29)</f>
        <v>67118</v>
      </c>
      <c r="S30" s="7">
        <f t="shared" si="4"/>
        <v>190893</v>
      </c>
      <c r="T30" s="7">
        <f t="shared" si="4"/>
        <v>75895</v>
      </c>
      <c r="U30" s="7">
        <f t="shared" si="4"/>
        <v>64829.36</v>
      </c>
      <c r="V30" s="7">
        <f>SUM(V27:V29)</f>
        <v>186903.677</v>
      </c>
      <c r="W30" s="7">
        <f>SUM(W27:W29)</f>
        <v>159623</v>
      </c>
      <c r="X30" s="7">
        <f t="shared" si="4"/>
        <v>3424792.825</v>
      </c>
      <c r="Y30" s="7">
        <f>SUM(Y27:Y29)</f>
        <v>37545.795</v>
      </c>
      <c r="Z30" s="7">
        <f t="shared" si="4"/>
        <v>66405</v>
      </c>
      <c r="AA30" s="7">
        <f t="shared" si="4"/>
        <v>16582.004</v>
      </c>
      <c r="AB30" s="7">
        <f t="shared" si="4"/>
        <v>44500</v>
      </c>
      <c r="AC30" s="7">
        <f t="shared" si="4"/>
        <v>103327</v>
      </c>
      <c r="AD30" s="7">
        <f t="shared" si="4"/>
        <v>1121</v>
      </c>
      <c r="AE30" s="7">
        <f t="shared" si="4"/>
        <v>12244</v>
      </c>
      <c r="AF30" s="7">
        <f t="shared" si="4"/>
        <v>14334</v>
      </c>
      <c r="AG30" s="7">
        <f t="shared" si="4"/>
        <v>0</v>
      </c>
      <c r="AH30" s="7">
        <f>SUM(AH27:AH29)</f>
        <v>122829</v>
      </c>
      <c r="AI30" s="7">
        <f t="shared" si="4"/>
        <v>18160</v>
      </c>
      <c r="AJ30" s="7">
        <f t="shared" si="4"/>
        <v>1635</v>
      </c>
      <c r="AK30" s="7">
        <f t="shared" si="4"/>
        <v>3365</v>
      </c>
      <c r="AL30" s="7">
        <f t="shared" si="4"/>
        <v>11148</v>
      </c>
      <c r="AM30" s="7">
        <f t="shared" si="4"/>
        <v>2016</v>
      </c>
      <c r="AN30" s="7">
        <f t="shared" si="4"/>
        <v>178</v>
      </c>
      <c r="AO30" s="7">
        <f t="shared" si="4"/>
        <v>79.027</v>
      </c>
      <c r="AP30" s="7">
        <f t="shared" si="4"/>
        <v>1217</v>
      </c>
      <c r="AQ30" s="7">
        <f t="shared" si="4"/>
        <v>178</v>
      </c>
      <c r="AR30" s="7">
        <f t="shared" si="4"/>
        <v>0</v>
      </c>
      <c r="AS30" s="7">
        <f t="shared" si="4"/>
        <v>2418.698</v>
      </c>
      <c r="AT30" s="7">
        <f t="shared" si="4"/>
        <v>0</v>
      </c>
      <c r="AU30" s="7">
        <f t="shared" si="4"/>
        <v>0</v>
      </c>
      <c r="AV30" s="7">
        <f>SUM(AV27:AV29)</f>
        <v>0</v>
      </c>
      <c r="AW30" s="7">
        <f t="shared" si="4"/>
        <v>0</v>
      </c>
      <c r="AY30" s="7">
        <f>SUM(B30:AW30)</f>
        <v>12850350.009000001</v>
      </c>
      <c r="AZ30" s="7"/>
    </row>
    <row r="31" spans="1:52" ht="5.25" customHeight="1">
      <c r="A31" s="7"/>
      <c r="E31" s="11"/>
      <c r="F31" s="11"/>
      <c r="G31" s="7"/>
      <c r="J31" s="8"/>
      <c r="N31" s="19"/>
      <c r="Q31" s="11"/>
      <c r="R31" s="11"/>
      <c r="S31" s="11"/>
      <c r="T31" s="11"/>
      <c r="U31" s="11"/>
      <c r="V31" s="8"/>
      <c r="X31" s="11"/>
      <c r="Z31" s="11"/>
      <c r="AB31" s="11"/>
      <c r="AC31" s="19"/>
      <c r="AF31" s="11"/>
      <c r="AG31" s="11"/>
      <c r="AI31" s="11"/>
      <c r="AK31" s="11"/>
      <c r="AL31" s="11"/>
      <c r="AM31" s="11"/>
      <c r="AN31" s="11"/>
      <c r="AP31" s="11"/>
      <c r="AQ31" s="11"/>
      <c r="AR31" s="11"/>
      <c r="AS31" s="11"/>
      <c r="AT31" s="11"/>
      <c r="AU31" s="11"/>
      <c r="AY31" s="7"/>
      <c r="AZ31" s="7"/>
    </row>
    <row r="32" spans="1:52" ht="12.75">
      <c r="A32" s="9" t="s">
        <v>246</v>
      </c>
      <c r="E32" s="11"/>
      <c r="F32" s="11"/>
      <c r="G32" s="11"/>
      <c r="N32" s="19"/>
      <c r="Q32" s="11"/>
      <c r="R32" s="11"/>
      <c r="S32" s="11"/>
      <c r="T32" s="11"/>
      <c r="U32" s="11"/>
      <c r="V32" s="8"/>
      <c r="X32" s="11"/>
      <c r="Z32" s="11"/>
      <c r="AB32" s="11"/>
      <c r="AC32" s="19"/>
      <c r="AF32" s="11"/>
      <c r="AG32" s="11"/>
      <c r="AI32" s="11"/>
      <c r="AK32" s="11"/>
      <c r="AL32" s="11"/>
      <c r="AM32" s="11"/>
      <c r="AN32" s="11"/>
      <c r="AP32" s="11"/>
      <c r="AQ32" s="11"/>
      <c r="AR32" s="11"/>
      <c r="AS32" s="11"/>
      <c r="AT32" s="11"/>
      <c r="AU32" s="11"/>
      <c r="AY32" s="7"/>
      <c r="AZ32" s="7"/>
    </row>
    <row r="33" spans="1:52" ht="12.75">
      <c r="A33" s="7" t="s">
        <v>247</v>
      </c>
      <c r="B33" s="8">
        <f>+'4.1. Samtryggingard.'!B96+'4.1. Samtryggingard.'!C96+'5.1. Séreignard.'!B97+'5.1. Séreignard.'!C97+'5.1. Séreignard.'!D97</f>
        <v>18754</v>
      </c>
      <c r="C33" s="8">
        <f>+'4.1. Samtryggingard.'!D96+'5.1. Séreignard.'!E97</f>
        <v>70410</v>
      </c>
      <c r="D33" s="8">
        <f>+'4.1. Samtryggingard.'!E96+'5.1. Séreignard.'!F97+'5.1. Séreignard.'!G97</f>
        <v>19636.831</v>
      </c>
      <c r="E33" s="8">
        <f>+'4.1. Samtryggingard.'!F96+'5.1. Séreignard.'!H97+'5.1. Séreignard.'!I97+'5.1. Séreignard.'!J97</f>
        <v>4916</v>
      </c>
      <c r="F33" s="8">
        <f>+'4.1. Samtryggingard.'!G96+'4.1. Samtryggingard.'!H96+'5.1. Séreignard.'!K97+'5.1. Séreignard.'!L97</f>
        <v>10485</v>
      </c>
      <c r="G33" s="7">
        <f>+'4.1. Samtryggingard.'!I96+'5.1. Séreignard.'!M97+'5.1. Séreignard.'!N97</f>
        <v>4125</v>
      </c>
      <c r="H33" s="8">
        <f>+'4.1. Samtryggingard.'!J96+'5.1. Séreignard.'!O97+'5.1. Séreignard.'!P97+'5.1. Séreignard.'!Q97</f>
        <v>0</v>
      </c>
      <c r="I33" s="8">
        <f>+'4.1. Samtryggingard.'!K96+'5.1. Séreignard.'!R97</f>
        <v>6120</v>
      </c>
      <c r="J33" s="8">
        <f>+'4.1. Samtryggingard.'!L96+'5.1. Séreignard.'!S97+'5.1. Séreignard.'!T97+'5.1. Séreignard.'!U97+'5.1. Séreignard.'!V97</f>
        <v>0</v>
      </c>
      <c r="K33" s="8">
        <f>+'4.1. Samtryggingard.'!M96+'5.1. Séreignard.'!W97+'5.1. Séreignard.'!X97</f>
        <v>16324</v>
      </c>
      <c r="L33" s="8">
        <f>+'4.1. Samtryggingard.'!N96+'4.1. Samtryggingard.'!O96</f>
        <v>1582</v>
      </c>
      <c r="M33" s="8">
        <f>+'4.1. Samtryggingard.'!P96+'4.1. Samtryggingard.'!Q96+'5.1. Séreignard.'!Y97</f>
        <v>17294</v>
      </c>
      <c r="N33" s="8">
        <f>+'4.1. Samtryggingard.'!R96</f>
        <v>0</v>
      </c>
      <c r="O33" s="8">
        <f>+'4.1. Samtryggingard.'!S96+'5.1. Séreignard.'!Z97</f>
        <v>3595</v>
      </c>
      <c r="P33" s="8">
        <f>+'4.1. Samtryggingard.'!T96+'5.1. Séreignard.'!AA97</f>
        <v>3046</v>
      </c>
      <c r="Q33" s="8">
        <f>+'4.1. Samtryggingard.'!U96+'5.1. Séreignard.'!AB97</f>
        <v>8686</v>
      </c>
      <c r="R33" s="8">
        <f>+'4.1. Samtryggingard.'!V96</f>
        <v>2084</v>
      </c>
      <c r="S33" s="8">
        <f>+'4.1. Samtryggingard.'!W96</f>
        <v>1901</v>
      </c>
      <c r="T33" s="8">
        <f>+'4.1. Samtryggingard.'!X96+'5.1. Séreignard.'!AC97+'5.1. Séreignard.'!AD97</f>
        <v>2755</v>
      </c>
      <c r="U33" s="8">
        <f>+'4.1. Samtryggingard.'!Y96</f>
        <v>2430</v>
      </c>
      <c r="V33" s="7">
        <f>+'4.1. Samtryggingard.'!Z96+'4.1. Samtryggingard.'!AA96+'5.1. Séreignard.'!AE97+'5.1. Séreignard.'!AF97+'5.1. Séreignard.'!AG97</f>
        <v>12463.428</v>
      </c>
      <c r="W33" s="8">
        <f>+'4.1. Samtryggingard.'!AB96+'5.1. Séreignard.'!AH97</f>
        <v>0</v>
      </c>
      <c r="X33" s="8">
        <f>+'4.1. Samtryggingard.'!AC96</f>
        <v>0</v>
      </c>
      <c r="Y33" s="8">
        <f>+'4.1. Samtryggingard.'!AD96+'5.1. Séreignard.'!AI97+'5.1. Séreignard.'!AJ97+'5.1. Séreignard.'!AK97+'5.1. Séreignard.'!AL97</f>
        <v>0</v>
      </c>
      <c r="Z33" s="8">
        <f>+'4.1. Samtryggingard.'!AE96</f>
        <v>0</v>
      </c>
      <c r="AA33" s="8">
        <f>+'4.1. Samtryggingard.'!AF96</f>
        <v>0</v>
      </c>
      <c r="AB33" s="8">
        <f>+'4.1. Samtryggingard.'!AG96</f>
        <v>1044</v>
      </c>
      <c r="AC33" s="8">
        <f>+'4.1. Samtryggingard.'!AH96</f>
        <v>0</v>
      </c>
      <c r="AD33" s="8">
        <f>+'4.1. Samtryggingard.'!AI96+'4.1. Samtryggingard.'!AJ96</f>
        <v>0</v>
      </c>
      <c r="AE33" s="8">
        <f>+'4.1. Samtryggingard.'!AK96+'5.1. Séreignard.'!AM97</f>
        <v>1112</v>
      </c>
      <c r="AF33" s="8">
        <f>+'4.1. Samtryggingard.'!AL96</f>
        <v>0</v>
      </c>
      <c r="AG33" s="8">
        <f>+'4.1. Samtryggingard.'!AM96</f>
        <v>0</v>
      </c>
      <c r="AH33" s="8">
        <f>+'4.1. Samtryggingard.'!AN96+'5.1. Séreignard.'!AN97</f>
        <v>0</v>
      </c>
      <c r="AI33" s="8">
        <f>+'4.1. Samtryggingard.'!AO96</f>
        <v>0</v>
      </c>
      <c r="AJ33" s="8">
        <f>+'4.1. Samtryggingard.'!AP96</f>
        <v>0</v>
      </c>
      <c r="AK33" s="8">
        <f>+'4.1. Samtryggingard.'!AQ96</f>
        <v>0</v>
      </c>
      <c r="AL33" s="8">
        <f>+'4.1. Samtryggingard.'!AR96</f>
        <v>0</v>
      </c>
      <c r="AM33" s="8">
        <f>+'4.1. Samtryggingard.'!AS96</f>
        <v>0</v>
      </c>
      <c r="AN33" s="8">
        <f>+'4.1. Samtryggingard.'!AT96</f>
        <v>0</v>
      </c>
      <c r="AO33" s="8">
        <f>+'4.1. Samtryggingard.'!AU96</f>
        <v>0</v>
      </c>
      <c r="AP33" s="8">
        <f>+'4.1. Samtryggingard.'!AV96</f>
        <v>0</v>
      </c>
      <c r="AQ33" s="8">
        <f>+'4.1. Samtryggingard.'!AW96</f>
        <v>0</v>
      </c>
      <c r="AR33" s="8">
        <f>+'4.1. Samtryggingard.'!AX96</f>
        <v>0</v>
      </c>
      <c r="AS33" s="8">
        <f>+'4.1. Samtryggingard.'!AY96</f>
        <v>0</v>
      </c>
      <c r="AT33" s="8">
        <f>+'4.1. Samtryggingard.'!AZ96</f>
        <v>0</v>
      </c>
      <c r="AU33" s="8">
        <f>+'4.1. Samtryggingard.'!BA96</f>
        <v>0</v>
      </c>
      <c r="AV33" s="8">
        <f>+'4.1. Samtryggingard.'!BB96</f>
        <v>0</v>
      </c>
      <c r="AW33" s="8">
        <f>+'4.1. Samtryggingard.'!BC96</f>
        <v>0</v>
      </c>
      <c r="AY33" s="7">
        <f>SUM(B33:AW33)</f>
        <v>208763.25900000002</v>
      </c>
      <c r="AZ33" s="7"/>
    </row>
    <row r="34" spans="1:52" ht="12.75">
      <c r="A34" s="7" t="s">
        <v>248</v>
      </c>
      <c r="B34" s="8">
        <f>+'4.1. Samtryggingard.'!B97+'4.1. Samtryggingard.'!C97+'5.1. Séreignard.'!B98+'5.1. Séreignard.'!C98+'5.1. Séreignard.'!D98</f>
        <v>1571177.4</v>
      </c>
      <c r="C34" s="8">
        <f>+'4.1. Samtryggingard.'!D97+'5.1. Séreignard.'!E98</f>
        <v>4384276</v>
      </c>
      <c r="D34" s="8">
        <f>+'4.1. Samtryggingard.'!E97+'5.1. Séreignard.'!F98+'5.1. Séreignard.'!G98</f>
        <v>1008495.8</v>
      </c>
      <c r="E34" s="8">
        <f>+'4.1. Samtryggingard.'!F97+'5.1. Séreignard.'!H98+'5.1. Séreignard.'!I98+'5.1. Séreignard.'!J98</f>
        <v>556169</v>
      </c>
      <c r="F34" s="8">
        <f>+'4.1. Samtryggingard.'!G97+'4.1. Samtryggingard.'!H97+'5.1. Séreignard.'!K98+'5.1. Séreignard.'!L98</f>
        <v>349119</v>
      </c>
      <c r="G34" s="7">
        <f>+'4.1. Samtryggingard.'!I97+'5.1. Séreignard.'!M98+'5.1. Séreignard.'!N98</f>
        <v>864334</v>
      </c>
      <c r="H34" s="8">
        <f>+'4.1. Samtryggingard.'!J97+'5.1. Séreignard.'!O98+'5.1. Séreignard.'!P98+'5.1. Séreignard.'!Q98</f>
        <v>241557</v>
      </c>
      <c r="I34" s="8">
        <f>+'4.1. Samtryggingard.'!K97+'5.1. Séreignard.'!R98</f>
        <v>485773</v>
      </c>
      <c r="J34" s="8">
        <f>+'4.1. Samtryggingard.'!L97+'5.1. Séreignard.'!S98+'5.1. Séreignard.'!T98+'5.1. Séreignard.'!U98+'5.1. Séreignard.'!V98</f>
        <v>129891.09173787454</v>
      </c>
      <c r="K34" s="8">
        <f>+'4.1. Samtryggingard.'!M97+'5.1. Séreignard.'!W98+'5.1. Séreignard.'!X98</f>
        <v>378533</v>
      </c>
      <c r="L34" s="8">
        <f>+'4.1. Samtryggingard.'!N97+'4.1. Samtryggingard.'!O97</f>
        <v>525265</v>
      </c>
      <c r="M34" s="8">
        <f>+'4.1. Samtryggingard.'!P97+'4.1. Samtryggingard.'!Q97+'5.1. Séreignard.'!Y98</f>
        <v>491899</v>
      </c>
      <c r="N34" s="8">
        <f>+'4.1. Samtryggingard.'!R97</f>
        <v>16899</v>
      </c>
      <c r="O34" s="8">
        <f>+'4.1. Samtryggingard.'!S97+'5.1. Séreignard.'!Z98</f>
        <v>467454.5</v>
      </c>
      <c r="P34" s="8">
        <f>+'4.1. Samtryggingard.'!T97+'5.1. Séreignard.'!AA98</f>
        <v>204608</v>
      </c>
      <c r="Q34" s="8">
        <f>+'4.1. Samtryggingard.'!U97+'5.1. Séreignard.'!AB98</f>
        <v>9533</v>
      </c>
      <c r="R34" s="8">
        <f>+'4.1. Samtryggingard.'!V97</f>
        <v>218842</v>
      </c>
      <c r="S34" s="8">
        <f>+'4.1. Samtryggingard.'!W97</f>
        <v>113366</v>
      </c>
      <c r="T34" s="8">
        <f>+'4.1. Samtryggingard.'!X97+'5.1. Séreignard.'!AC98+'5.1. Séreignard.'!AD98</f>
        <v>104654</v>
      </c>
      <c r="U34" s="8">
        <f>+'4.1. Samtryggingard.'!Y97</f>
        <v>142368</v>
      </c>
      <c r="V34" s="7">
        <f>+'4.1. Samtryggingard.'!Z97+'4.1. Samtryggingard.'!AA97+'5.1. Séreignard.'!AE98+'5.1. Séreignard.'!AF98+'5.1. Séreignard.'!AG98</f>
        <v>156302.434</v>
      </c>
      <c r="W34" s="8">
        <f>+'4.1. Samtryggingard.'!AB97+'5.1. Séreignard.'!AH98</f>
        <v>26902</v>
      </c>
      <c r="X34" s="8">
        <f>+'4.1. Samtryggingard.'!AC97</f>
        <v>156544.623</v>
      </c>
      <c r="Y34" s="8">
        <f>+'4.1. Samtryggingard.'!AD97+'5.1. Séreignard.'!AI98+'5.1. Séreignard.'!AJ98+'5.1. Séreignard.'!AK98+'5.1. Séreignard.'!AL98</f>
        <v>42328.810999999994</v>
      </c>
      <c r="Z34" s="8">
        <f>+'4.1. Samtryggingard.'!AE97</f>
        <v>39240</v>
      </c>
      <c r="AA34" s="8">
        <f>+'4.1. Samtryggingard.'!AF97</f>
        <v>400909.559</v>
      </c>
      <c r="AB34" s="8">
        <f>+'4.1. Samtryggingard.'!AG97</f>
        <v>68866</v>
      </c>
      <c r="AC34" s="8">
        <f>+'4.1. Samtryggingard.'!AH97</f>
        <v>1150</v>
      </c>
      <c r="AD34" s="8">
        <f>+'4.1. Samtryggingard.'!AI97+'4.1. Samtryggingard.'!AJ97</f>
        <v>21487</v>
      </c>
      <c r="AE34" s="8">
        <f>+'4.1. Samtryggingard.'!AK97+'5.1. Séreignard.'!AM98</f>
        <v>484291</v>
      </c>
      <c r="AF34" s="8">
        <f>+'4.1. Samtryggingard.'!AL97</f>
        <v>82735</v>
      </c>
      <c r="AG34" s="8">
        <f>+'4.1. Samtryggingard.'!AM97</f>
        <v>1573</v>
      </c>
      <c r="AH34" s="8">
        <f>+'4.1. Samtryggingard.'!AN97+'5.1. Séreignard.'!AN98</f>
        <v>5964</v>
      </c>
      <c r="AI34" s="8">
        <f>+'4.1. Samtryggingard.'!AO97</f>
        <v>21412.538</v>
      </c>
      <c r="AJ34" s="8">
        <f>+'4.1. Samtryggingard.'!AP97</f>
        <v>8131</v>
      </c>
      <c r="AK34" s="8">
        <f>+'4.1. Samtryggingard.'!AQ97</f>
        <v>1631</v>
      </c>
      <c r="AL34" s="8">
        <f>+'4.1. Samtryggingard.'!AR97</f>
        <v>10</v>
      </c>
      <c r="AM34" s="8">
        <f>+'4.1. Samtryggingard.'!AS97</f>
        <v>1655</v>
      </c>
      <c r="AN34" s="8">
        <f>+'4.1. Samtryggingard.'!AT97</f>
        <v>348</v>
      </c>
      <c r="AO34" s="8">
        <f>+'4.1. Samtryggingard.'!AU97</f>
        <v>1716.168</v>
      </c>
      <c r="AP34" s="8">
        <f>+'4.1. Samtryggingard.'!AV97</f>
        <v>66015</v>
      </c>
      <c r="AQ34" s="8">
        <f>+'4.1. Samtryggingard.'!AW97</f>
        <v>1671</v>
      </c>
      <c r="AR34" s="8">
        <f>+'4.1. Samtryggingard.'!AX97</f>
        <v>47699</v>
      </c>
      <c r="AS34" s="8">
        <f>+'4.1. Samtryggingard.'!AY97</f>
        <v>5213.861</v>
      </c>
      <c r="AT34" s="8">
        <f>+'4.1. Samtryggingard.'!AZ97</f>
        <v>27118</v>
      </c>
      <c r="AU34" s="8">
        <f>+'4.1. Samtryggingard.'!BA97</f>
        <v>46792</v>
      </c>
      <c r="AV34" s="8">
        <f>+'4.1. Samtryggingard.'!BB97</f>
        <v>50</v>
      </c>
      <c r="AW34" s="8">
        <f>+'4.1. Samtryggingard.'!BC97</f>
        <v>43532</v>
      </c>
      <c r="AY34" s="7">
        <f>SUM(B34:AW34)</f>
        <v>14025501.785737874</v>
      </c>
      <c r="AZ34" s="7"/>
    </row>
    <row r="35" spans="1:52" ht="12.75">
      <c r="A35" s="7" t="s">
        <v>249</v>
      </c>
      <c r="B35" s="8">
        <f>+'4.1. Samtryggingard.'!B98+'4.1. Samtryggingard.'!C98+'5.1. Séreignard.'!B99+'5.1. Séreignard.'!C99+'5.1. Séreignard.'!D99</f>
        <v>0</v>
      </c>
      <c r="C35" s="8">
        <f>+'4.1. Samtryggingard.'!D98+'5.1. Séreignard.'!E99</f>
        <v>0</v>
      </c>
      <c r="D35" s="8">
        <f>+'4.1. Samtryggingard.'!E98+'5.1. Séreignard.'!F99+'5.1. Séreignard.'!G99</f>
        <v>243205.639</v>
      </c>
      <c r="E35" s="8">
        <f>+'4.1. Samtryggingard.'!F98+'5.1. Séreignard.'!H99+'5.1. Séreignard.'!I99+'5.1. Séreignard.'!J99</f>
        <v>0</v>
      </c>
      <c r="F35" s="8">
        <f>+'4.1. Samtryggingard.'!G98+'4.1. Samtryggingard.'!H98+'5.1. Séreignard.'!K99+'5.1. Séreignard.'!L99</f>
        <v>0</v>
      </c>
      <c r="G35" s="7">
        <f>+'4.1. Samtryggingard.'!I98+'5.1. Séreignard.'!M99+'5.1. Séreignard.'!N99</f>
        <v>0</v>
      </c>
      <c r="H35" s="8">
        <f>+'4.1. Samtryggingard.'!J98+'5.1. Séreignard.'!O99+'5.1. Séreignard.'!P99+'5.1. Séreignard.'!Q99</f>
        <v>0</v>
      </c>
      <c r="I35" s="8">
        <f>+'4.1. Samtryggingard.'!K98+'5.1. Séreignard.'!R99</f>
        <v>0</v>
      </c>
      <c r="J35" s="8">
        <f>+'4.1. Samtryggingard.'!L98+'5.1. Séreignard.'!S99+'5.1. Séreignard.'!T99+'5.1. Séreignard.'!U99+'5.1. Séreignard.'!V99</f>
        <v>0</v>
      </c>
      <c r="K35" s="8">
        <f>+'4.1. Samtryggingard.'!M98+'5.1. Séreignard.'!W99+'5.1. Séreignard.'!X99</f>
        <v>0</v>
      </c>
      <c r="L35" s="8">
        <f>+'4.1. Samtryggingard.'!N98+'4.1. Samtryggingard.'!O98</f>
        <v>131850</v>
      </c>
      <c r="M35" s="8">
        <f>+'4.1. Samtryggingard.'!P98+'4.1. Samtryggingard.'!Q98+'5.1. Séreignard.'!Y99</f>
        <v>0</v>
      </c>
      <c r="N35" s="8">
        <f>+'4.1. Samtryggingard.'!R98</f>
        <v>0</v>
      </c>
      <c r="O35" s="8">
        <f>+'4.1. Samtryggingard.'!S98+'5.1. Séreignard.'!Z99</f>
        <v>64224</v>
      </c>
      <c r="P35" s="8">
        <f>+'4.1. Samtryggingard.'!T98+'5.1. Séreignard.'!AA99</f>
        <v>0</v>
      </c>
      <c r="Q35" s="8">
        <f>+'4.1. Samtryggingard.'!U98+'5.1. Séreignard.'!AB99</f>
        <v>0</v>
      </c>
      <c r="R35" s="8">
        <f>+'4.1. Samtryggingard.'!V98</f>
        <v>0</v>
      </c>
      <c r="S35" s="8">
        <f>+'4.1. Samtryggingard.'!W98</f>
        <v>0</v>
      </c>
      <c r="T35" s="8">
        <f>+'4.1. Samtryggingard.'!X98+'5.1. Séreignard.'!AC99+'5.1. Séreignard.'!AD99</f>
        <v>55556</v>
      </c>
      <c r="U35" s="8">
        <f>+'4.1. Samtryggingard.'!Y98</f>
        <v>5111.848</v>
      </c>
      <c r="V35" s="7">
        <f>+'4.1. Samtryggingard.'!Z98+'4.1. Samtryggingard.'!AA98+'5.1. Séreignard.'!AE99+'5.1. Séreignard.'!AF99+'5.1. Séreignard.'!AG99</f>
        <v>0</v>
      </c>
      <c r="W35" s="8">
        <f>+'4.1. Samtryggingard.'!AB98+'5.1. Séreignard.'!AH99</f>
        <v>0</v>
      </c>
      <c r="X35" s="8">
        <f>+'4.1. Samtryggingard.'!AC98</f>
        <v>0</v>
      </c>
      <c r="Y35" s="8">
        <f>+'4.1. Samtryggingard.'!AD98+'5.1. Séreignard.'!AI99+'5.1. Séreignard.'!AJ99+'5.1. Séreignard.'!AK99+'5.1. Séreignard.'!AL99</f>
        <v>0</v>
      </c>
      <c r="Z35" s="8">
        <f>+'4.1. Samtryggingard.'!AE98</f>
        <v>10676</v>
      </c>
      <c r="AA35" s="8">
        <f>+'4.1. Samtryggingard.'!AF98</f>
        <v>0</v>
      </c>
      <c r="AB35" s="8">
        <f>+'4.1. Samtryggingard.'!AG98</f>
        <v>123507</v>
      </c>
      <c r="AC35" s="8">
        <f>+'4.1. Samtryggingard.'!AH98</f>
        <v>0</v>
      </c>
      <c r="AD35" s="8">
        <f>+'4.1. Samtryggingard.'!AI98+'4.1. Samtryggingard.'!AJ98</f>
        <v>0</v>
      </c>
      <c r="AE35" s="8">
        <f>+'4.1. Samtryggingard.'!AK98+'5.1. Séreignard.'!AM99</f>
        <v>0</v>
      </c>
      <c r="AF35" s="8">
        <f>+'4.1. Samtryggingard.'!AL98</f>
        <v>6281</v>
      </c>
      <c r="AG35" s="8">
        <f>+'4.1. Samtryggingard.'!AM98</f>
        <v>1067</v>
      </c>
      <c r="AH35" s="8">
        <f>+'4.1. Samtryggingard.'!AN98+'5.1. Séreignard.'!AN99</f>
        <v>1335</v>
      </c>
      <c r="AI35" s="8">
        <f>+'4.1. Samtryggingard.'!AO98</f>
        <v>0</v>
      </c>
      <c r="AJ35" s="8">
        <f>+'4.1. Samtryggingard.'!AP98</f>
        <v>0</v>
      </c>
      <c r="AK35" s="8">
        <f>+'4.1. Samtryggingard.'!AQ98</f>
        <v>889</v>
      </c>
      <c r="AL35" s="8">
        <f>+'4.1. Samtryggingard.'!AR98</f>
        <v>0</v>
      </c>
      <c r="AM35" s="8">
        <f>+'4.1. Samtryggingard.'!AS98</f>
        <v>0</v>
      </c>
      <c r="AN35" s="8">
        <f>+'4.1. Samtryggingard.'!AT98</f>
        <v>0</v>
      </c>
      <c r="AO35" s="8">
        <f>+'4.1. Samtryggingard.'!AU98</f>
        <v>0</v>
      </c>
      <c r="AP35" s="8">
        <f>+'4.1. Samtryggingard.'!AV98</f>
        <v>0</v>
      </c>
      <c r="AQ35" s="8">
        <f>+'4.1. Samtryggingard.'!AW98</f>
        <v>0</v>
      </c>
      <c r="AR35" s="8">
        <f>+'4.1. Samtryggingard.'!AX98</f>
        <v>0</v>
      </c>
      <c r="AS35" s="8">
        <f>+'4.1. Samtryggingard.'!AY98</f>
        <v>0</v>
      </c>
      <c r="AT35" s="8">
        <f>+'4.1. Samtryggingard.'!AZ98</f>
        <v>0</v>
      </c>
      <c r="AU35" s="8">
        <f>+'4.1. Samtryggingard.'!BA98</f>
        <v>0</v>
      </c>
      <c r="AV35" s="8">
        <f>+'4.1. Samtryggingard.'!BB98</f>
        <v>0</v>
      </c>
      <c r="AW35" s="8">
        <f>+'4.1. Samtryggingard.'!BC98</f>
        <v>0</v>
      </c>
      <c r="AY35" s="7">
        <f>SUM(B35:AW35)</f>
        <v>643702.487</v>
      </c>
      <c r="AZ35" s="7"/>
    </row>
    <row r="36" spans="1:52" ht="12.75">
      <c r="A36" s="218" t="s">
        <v>250</v>
      </c>
      <c r="B36" s="7">
        <f>SUM(B33:B35)</f>
        <v>1589931.4</v>
      </c>
      <c r="C36" s="7">
        <f aca="true" t="shared" si="5" ref="C36:AW36">SUM(C33:C35)</f>
        <v>4454686</v>
      </c>
      <c r="D36" s="7">
        <f t="shared" si="5"/>
        <v>1271338.27</v>
      </c>
      <c r="E36" s="7">
        <f t="shared" si="5"/>
        <v>561085</v>
      </c>
      <c r="F36" s="7">
        <f t="shared" si="5"/>
        <v>359604</v>
      </c>
      <c r="G36" s="7">
        <f t="shared" si="5"/>
        <v>868459</v>
      </c>
      <c r="H36" s="7">
        <f>SUM(H33:H35)</f>
        <v>241557</v>
      </c>
      <c r="I36" s="7">
        <f t="shared" si="5"/>
        <v>491893</v>
      </c>
      <c r="J36" s="7">
        <f t="shared" si="5"/>
        <v>129891.09173787454</v>
      </c>
      <c r="K36" s="7">
        <f t="shared" si="5"/>
        <v>394857</v>
      </c>
      <c r="L36" s="7">
        <f t="shared" si="5"/>
        <v>658697</v>
      </c>
      <c r="M36" s="7">
        <f t="shared" si="5"/>
        <v>509193</v>
      </c>
      <c r="N36" s="7">
        <f>SUM(N33:N35)</f>
        <v>16899</v>
      </c>
      <c r="O36" s="7">
        <f t="shared" si="5"/>
        <v>535273.5</v>
      </c>
      <c r="P36" s="7">
        <f t="shared" si="5"/>
        <v>207654</v>
      </c>
      <c r="Q36" s="7">
        <f t="shared" si="5"/>
        <v>18219</v>
      </c>
      <c r="R36" s="7">
        <f>SUM(R33:R35)</f>
        <v>220926</v>
      </c>
      <c r="S36" s="7">
        <f t="shared" si="5"/>
        <v>115267</v>
      </c>
      <c r="T36" s="7">
        <f t="shared" si="5"/>
        <v>162965</v>
      </c>
      <c r="U36" s="7">
        <f t="shared" si="5"/>
        <v>149909.848</v>
      </c>
      <c r="V36" s="7">
        <f>SUM(V33:V35)</f>
        <v>168765.86200000002</v>
      </c>
      <c r="W36" s="7">
        <f>SUM(W33:W35)</f>
        <v>26902</v>
      </c>
      <c r="X36" s="7">
        <f t="shared" si="5"/>
        <v>156544.623</v>
      </c>
      <c r="Y36" s="7">
        <f>SUM(Y33:Y35)</f>
        <v>42328.810999999994</v>
      </c>
      <c r="Z36" s="7">
        <f t="shared" si="5"/>
        <v>49916</v>
      </c>
      <c r="AA36" s="7">
        <f t="shared" si="5"/>
        <v>400909.559</v>
      </c>
      <c r="AB36" s="7">
        <f t="shared" si="5"/>
        <v>193417</v>
      </c>
      <c r="AC36" s="7">
        <f t="shared" si="5"/>
        <v>1150</v>
      </c>
      <c r="AD36" s="7">
        <f t="shared" si="5"/>
        <v>21487</v>
      </c>
      <c r="AE36" s="7">
        <f t="shared" si="5"/>
        <v>485403</v>
      </c>
      <c r="AF36" s="7">
        <f t="shared" si="5"/>
        <v>89016</v>
      </c>
      <c r="AG36" s="7">
        <f t="shared" si="5"/>
        <v>2640</v>
      </c>
      <c r="AH36" s="7">
        <f>SUM(AH33:AH35)</f>
        <v>7299</v>
      </c>
      <c r="AI36" s="7">
        <f t="shared" si="5"/>
        <v>21412.538</v>
      </c>
      <c r="AJ36" s="7">
        <f t="shared" si="5"/>
        <v>8131</v>
      </c>
      <c r="AK36" s="7">
        <f t="shared" si="5"/>
        <v>2520</v>
      </c>
      <c r="AL36" s="7">
        <f t="shared" si="5"/>
        <v>10</v>
      </c>
      <c r="AM36" s="7">
        <f t="shared" si="5"/>
        <v>1655</v>
      </c>
      <c r="AN36" s="7">
        <f t="shared" si="5"/>
        <v>348</v>
      </c>
      <c r="AO36" s="7">
        <f t="shared" si="5"/>
        <v>1716.168</v>
      </c>
      <c r="AP36" s="7">
        <f t="shared" si="5"/>
        <v>66015</v>
      </c>
      <c r="AQ36" s="7">
        <f t="shared" si="5"/>
        <v>1671</v>
      </c>
      <c r="AR36" s="7">
        <f t="shared" si="5"/>
        <v>47699</v>
      </c>
      <c r="AS36" s="7">
        <f t="shared" si="5"/>
        <v>5213.861</v>
      </c>
      <c r="AT36" s="7">
        <f t="shared" si="5"/>
        <v>27118</v>
      </c>
      <c r="AU36" s="7">
        <f t="shared" si="5"/>
        <v>46792</v>
      </c>
      <c r="AV36" s="7">
        <f>SUM(AV33:AV35)</f>
        <v>50</v>
      </c>
      <c r="AW36" s="7">
        <f t="shared" si="5"/>
        <v>43532</v>
      </c>
      <c r="AY36" s="7">
        <f>SUM(B36:AW36)</f>
        <v>14877967.531737873</v>
      </c>
      <c r="AZ36" s="7"/>
    </row>
    <row r="37" spans="1:52" ht="6" customHeight="1">
      <c r="A37" s="9"/>
      <c r="E37" s="11"/>
      <c r="F37" s="11"/>
      <c r="G37" s="11"/>
      <c r="N37" s="19"/>
      <c r="Q37" s="11"/>
      <c r="R37" s="11"/>
      <c r="S37" s="11"/>
      <c r="T37" s="11"/>
      <c r="U37" s="11"/>
      <c r="V37" s="7"/>
      <c r="X37" s="11"/>
      <c r="Z37" s="11"/>
      <c r="AB37" s="11"/>
      <c r="AC37" s="19"/>
      <c r="AF37" s="11"/>
      <c r="AG37" s="11"/>
      <c r="AI37" s="11"/>
      <c r="AK37" s="11"/>
      <c r="AL37" s="11"/>
      <c r="AM37" s="11"/>
      <c r="AN37" s="11"/>
      <c r="AP37" s="11"/>
      <c r="AQ37" s="11"/>
      <c r="AR37" s="11"/>
      <c r="AS37" s="11"/>
      <c r="AT37" s="11"/>
      <c r="AU37" s="11"/>
      <c r="AY37" s="7"/>
      <c r="AZ37" s="7"/>
    </row>
    <row r="38" spans="1:52" ht="12.75">
      <c r="A38" s="7" t="s">
        <v>251</v>
      </c>
      <c r="B38" s="8">
        <f>+'4.1. Samtryggingard.'!B101+'4.1. Samtryggingard.'!C101+'5.1. Séreignard.'!B102+'5.1. Séreignard.'!C102+'5.1. Séreignard.'!D102</f>
        <v>0</v>
      </c>
      <c r="C38" s="8">
        <f>+'4.1. Samtryggingard.'!D101+'5.1. Séreignard.'!E102</f>
        <v>0</v>
      </c>
      <c r="D38" s="8">
        <f>+'4.1. Samtryggingard.'!E101+'5.1. Séreignard.'!F102+'5.1. Séreignard.'!G102</f>
        <v>0</v>
      </c>
      <c r="E38" s="8">
        <f>+'4.1. Samtryggingard.'!F101+'5.1. Séreignard.'!H102+'5.1. Séreignard.'!I102+'5.1. Séreignard.'!J102</f>
        <v>0</v>
      </c>
      <c r="F38" s="8">
        <f>+'4.1. Samtryggingard.'!G101+'4.1. Samtryggingard.'!H101+'5.1. Séreignard.'!K102+'5.1. Séreignard.'!L102</f>
        <v>0</v>
      </c>
      <c r="G38" s="7">
        <f>+'4.1. Samtryggingard.'!I101+'5.1. Séreignard.'!M102+'5.1. Séreignard.'!N102</f>
        <v>0</v>
      </c>
      <c r="H38" s="8">
        <f>+'4.1. Samtryggingard.'!J101+'5.1. Séreignard.'!O102+'5.1. Séreignard.'!P102+'5.1. Séreignard.'!Q102</f>
        <v>0</v>
      </c>
      <c r="I38" s="8">
        <f>+'4.1. Samtryggingard.'!K101+'5.1. Séreignard.'!R102</f>
        <v>0</v>
      </c>
      <c r="J38" s="7">
        <f>+'4.1. Samtryggingard.'!L101+'5.1. Séreignard.'!S102+'5.1. Séreignard.'!T102+'5.1. Séreignard.'!U102+'5.1. Séreignard.'!V102</f>
        <v>0</v>
      </c>
      <c r="K38" s="8">
        <f>+'4.1. Samtryggingard.'!M101+'5.1. Séreignard.'!W102+'5.1. Séreignard.'!X102</f>
        <v>0</v>
      </c>
      <c r="L38" s="8">
        <f>+'4.1. Samtryggingard.'!N101+'4.1. Samtryggingard.'!O101</f>
        <v>0</v>
      </c>
      <c r="M38" s="8">
        <f>+'4.1. Samtryggingard.'!P101+'4.1. Samtryggingard.'!Q101+'5.1. Séreignard.'!Y102</f>
        <v>0</v>
      </c>
      <c r="N38" s="8">
        <f>+'4.1. Samtryggingard.'!R101</f>
        <v>0</v>
      </c>
      <c r="O38" s="8">
        <f>+'4.1. Samtryggingard.'!S101+'5.1. Séreignard.'!Z102</f>
        <v>0</v>
      </c>
      <c r="P38" s="8">
        <f>+'4.1. Samtryggingard.'!T101+'5.1. Séreignard.'!AA102</f>
        <v>0</v>
      </c>
      <c r="Q38" s="8">
        <f>+'4.1. Samtryggingard.'!U101+'5.1. Séreignard.'!AB102</f>
        <v>0</v>
      </c>
      <c r="R38" s="8">
        <f>+'4.1. Samtryggingard.'!V101</f>
        <v>0</v>
      </c>
      <c r="S38" s="8">
        <f>+'4.1. Samtryggingard.'!W101</f>
        <v>0</v>
      </c>
      <c r="T38" s="8">
        <f>+'4.1. Samtryggingard.'!X101+'5.1. Séreignard.'!AC102+'5.1. Séreignard.'!AD102</f>
        <v>0</v>
      </c>
      <c r="U38" s="8">
        <f>+'4.1. Samtryggingard.'!Y101</f>
        <v>0</v>
      </c>
      <c r="V38" s="7">
        <f>+'4.1. Samtryggingard.'!Z101+'4.1. Samtryggingard.'!AA101+'5.1. Séreignard.'!AE102+'5.1. Séreignard.'!AF102+'5.1. Séreignard.'!AG102</f>
        <v>0</v>
      </c>
      <c r="W38" s="7">
        <f>+'4.1. Samtryggingard.'!AB101+'5.1. Séreignard.'!AH102</f>
        <v>0</v>
      </c>
      <c r="X38" s="8">
        <f>+'4.1. Samtryggingard.'!AC101</f>
        <v>0</v>
      </c>
      <c r="Y38" s="8">
        <f>+'4.1. Samtryggingard.'!AD101+'5.1. Séreignard.'!AI102+'5.1. Séreignard.'!AJ102+'5.1. Séreignard.'!AK102+'5.1. Séreignard.'!AL102</f>
        <v>0</v>
      </c>
      <c r="Z38" s="8">
        <f>+'4.1. Samtryggingard.'!AE101</f>
        <v>0</v>
      </c>
      <c r="AA38" s="8">
        <f>+'4.1. Samtryggingard.'!AF101</f>
        <v>0</v>
      </c>
      <c r="AB38" s="8">
        <f>+'4.1. Samtryggingard.'!AG101</f>
        <v>0</v>
      </c>
      <c r="AC38" s="8">
        <f>+'4.1. Samtryggingard.'!AH101</f>
        <v>0</v>
      </c>
      <c r="AD38" s="8">
        <f>+'4.1. Samtryggingard.'!AI101+'4.1. Samtryggingard.'!AJ101</f>
        <v>0</v>
      </c>
      <c r="AE38" s="8">
        <f>+'4.1. Samtryggingard.'!AK101+'5.1. Séreignard.'!AM102</f>
        <v>0</v>
      </c>
      <c r="AF38" s="8">
        <f>+'4.1. Samtryggingard.'!AL101</f>
        <v>0</v>
      </c>
      <c r="AG38" s="8">
        <f>+'4.1. Samtryggingard.'!AM101</f>
        <v>0</v>
      </c>
      <c r="AH38" s="8">
        <f>+'4.1. Samtryggingard.'!AN101+'5.1. Séreignard.'!AN102</f>
        <v>0</v>
      </c>
      <c r="AI38" s="8">
        <f>+'4.1. Samtryggingard.'!AO101</f>
        <v>0</v>
      </c>
      <c r="AJ38" s="8">
        <f>+'4.1. Samtryggingard.'!AP101</f>
        <v>0</v>
      </c>
      <c r="AK38" s="8">
        <f>+'4.1. Samtryggingard.'!AQ101</f>
        <v>0</v>
      </c>
      <c r="AL38" s="8">
        <f>+'4.1. Samtryggingard.'!AR101</f>
        <v>0</v>
      </c>
      <c r="AM38" s="8">
        <f>+'4.1. Samtryggingard.'!AS101</f>
        <v>0</v>
      </c>
      <c r="AN38" s="8">
        <f>+'4.1. Samtryggingard.'!AT101</f>
        <v>0</v>
      </c>
      <c r="AO38" s="8">
        <f>+'4.1. Samtryggingard.'!AU101</f>
        <v>0</v>
      </c>
      <c r="AP38" s="8">
        <f>+'4.1. Samtryggingard.'!AV101</f>
        <v>0</v>
      </c>
      <c r="AQ38" s="8">
        <f>+'4.1. Samtryggingard.'!AW101</f>
        <v>0</v>
      </c>
      <c r="AR38" s="8">
        <f>+'4.1. Samtryggingard.'!AX101</f>
        <v>0</v>
      </c>
      <c r="AS38" s="8">
        <f>+'4.1. Samtryggingard.'!AY101</f>
        <v>0</v>
      </c>
      <c r="AT38" s="8">
        <f>+'4.1. Samtryggingard.'!AZ101</f>
        <v>0</v>
      </c>
      <c r="AU38" s="8">
        <f>+'4.1. Samtryggingard.'!BA101</f>
        <v>0</v>
      </c>
      <c r="AV38" s="8">
        <f>+'4.1. Samtryggingard.'!BB101</f>
        <v>0</v>
      </c>
      <c r="AW38" s="8">
        <f>+'4.1. Samtryggingard.'!BC101</f>
        <v>0</v>
      </c>
      <c r="AY38" s="7">
        <f>SUM(B38:AW38)</f>
        <v>0</v>
      </c>
      <c r="AZ38" s="7"/>
    </row>
    <row r="39" spans="1:52" ht="5.25" customHeight="1">
      <c r="A39" s="7"/>
      <c r="E39" s="11"/>
      <c r="F39" s="11"/>
      <c r="G39" s="11"/>
      <c r="N39" s="19"/>
      <c r="Q39" s="11"/>
      <c r="R39" s="11"/>
      <c r="S39" s="11"/>
      <c r="T39" s="11"/>
      <c r="U39" s="11"/>
      <c r="V39" s="11"/>
      <c r="X39" s="11"/>
      <c r="Z39" s="11"/>
      <c r="AB39" s="11"/>
      <c r="AC39" s="19"/>
      <c r="AF39" s="11"/>
      <c r="AG39" s="11"/>
      <c r="AI39" s="11"/>
      <c r="AK39" s="11"/>
      <c r="AL39" s="11"/>
      <c r="AM39" s="11"/>
      <c r="AN39" s="11"/>
      <c r="AP39" s="11"/>
      <c r="AQ39" s="11"/>
      <c r="AR39" s="11"/>
      <c r="AS39" s="11"/>
      <c r="AT39" s="11"/>
      <c r="AU39" s="11"/>
      <c r="AY39" s="7"/>
      <c r="AZ39" s="7"/>
    </row>
    <row r="40" spans="1:52" ht="15.75" customHeight="1">
      <c r="A40" s="219" t="s">
        <v>252</v>
      </c>
      <c r="B40" s="7">
        <f>+B24+B30+B36+B38</f>
        <v>180446130.3</v>
      </c>
      <c r="C40" s="7">
        <f aca="true" t="shared" si="6" ref="C40:AW40">+C24+C30+C36+C38</f>
        <v>150911552</v>
      </c>
      <c r="D40" s="7">
        <f t="shared" si="6"/>
        <v>77441429.94399999</v>
      </c>
      <c r="E40" s="7">
        <f t="shared" si="6"/>
        <v>68480755</v>
      </c>
      <c r="F40" s="7">
        <f t="shared" si="6"/>
        <v>61283312</v>
      </c>
      <c r="G40" s="7">
        <f t="shared" si="6"/>
        <v>39203356.35500001</v>
      </c>
      <c r="H40" s="7">
        <f>+H24+H30+H36+H38</f>
        <v>35957169.8</v>
      </c>
      <c r="I40" s="7">
        <f t="shared" si="6"/>
        <v>33818013</v>
      </c>
      <c r="J40" s="7">
        <f t="shared" si="6"/>
        <v>33121269.849657875</v>
      </c>
      <c r="K40" s="7">
        <f t="shared" si="6"/>
        <v>27421221</v>
      </c>
      <c r="L40" s="7">
        <f t="shared" si="6"/>
        <v>25571056</v>
      </c>
      <c r="M40" s="7">
        <f t="shared" si="6"/>
        <v>24295137</v>
      </c>
      <c r="N40" s="7">
        <f>+N24+N30+N36+N38</f>
        <v>18636197</v>
      </c>
      <c r="O40" s="7">
        <f t="shared" si="6"/>
        <v>18371727</v>
      </c>
      <c r="P40" s="7">
        <f t="shared" si="6"/>
        <v>17870484.016</v>
      </c>
      <c r="Q40" s="7">
        <f t="shared" si="6"/>
        <v>17603321</v>
      </c>
      <c r="R40" s="7">
        <f>+R24+R30+R36+R38</f>
        <v>15523906</v>
      </c>
      <c r="S40" s="7">
        <f t="shared" si="6"/>
        <v>15438869</v>
      </c>
      <c r="T40" s="7">
        <f t="shared" si="6"/>
        <v>15067229</v>
      </c>
      <c r="U40" s="7">
        <f t="shared" si="6"/>
        <v>13908412.608</v>
      </c>
      <c r="V40" s="7">
        <f>+V24+V30+V36+V38</f>
        <v>12396446.207999999</v>
      </c>
      <c r="W40" s="7">
        <f>+W24+W30+W36+W38</f>
        <v>11297853</v>
      </c>
      <c r="X40" s="7">
        <f t="shared" si="6"/>
        <v>11048612.447999999</v>
      </c>
      <c r="Y40" s="7">
        <f>+Y24+Y30+Y36+Y38</f>
        <v>10397653.724</v>
      </c>
      <c r="Z40" s="7">
        <f t="shared" si="6"/>
        <v>10215286</v>
      </c>
      <c r="AA40" s="7">
        <f t="shared" si="6"/>
        <v>9080552.811000003</v>
      </c>
      <c r="AB40" s="7">
        <f t="shared" si="6"/>
        <v>7326024</v>
      </c>
      <c r="AC40" s="7">
        <f t="shared" si="6"/>
        <v>4096174.716</v>
      </c>
      <c r="AD40" s="7">
        <f t="shared" si="6"/>
        <v>3121926</v>
      </c>
      <c r="AE40" s="7">
        <f t="shared" si="6"/>
        <v>2974185</v>
      </c>
      <c r="AF40" s="7">
        <f t="shared" si="6"/>
        <v>2542380</v>
      </c>
      <c r="AG40" s="7">
        <f t="shared" si="6"/>
        <v>2420800</v>
      </c>
      <c r="AH40" s="7">
        <f>+AH24+AH30+AH36+AH38</f>
        <v>1854135</v>
      </c>
      <c r="AI40" s="7">
        <f t="shared" si="6"/>
        <v>1751356.538</v>
      </c>
      <c r="AJ40" s="7">
        <f t="shared" si="6"/>
        <v>1628355</v>
      </c>
      <c r="AK40" s="7">
        <f t="shared" si="6"/>
        <v>1482603</v>
      </c>
      <c r="AL40" s="7">
        <f t="shared" si="6"/>
        <v>1311725</v>
      </c>
      <c r="AM40" s="7">
        <f t="shared" si="6"/>
        <v>948503</v>
      </c>
      <c r="AN40" s="7">
        <f t="shared" si="6"/>
        <v>703719</v>
      </c>
      <c r="AO40" s="7">
        <f t="shared" si="6"/>
        <v>614781.718</v>
      </c>
      <c r="AP40" s="7">
        <f t="shared" si="6"/>
        <v>610446</v>
      </c>
      <c r="AQ40" s="7">
        <f t="shared" si="6"/>
        <v>513782</v>
      </c>
      <c r="AR40" s="7">
        <f t="shared" si="6"/>
        <v>458796</v>
      </c>
      <c r="AS40" s="7">
        <f t="shared" si="6"/>
        <v>402573.2459999999</v>
      </c>
      <c r="AT40" s="7">
        <f t="shared" si="6"/>
        <v>213266</v>
      </c>
      <c r="AU40" s="7">
        <f t="shared" si="6"/>
        <v>90196</v>
      </c>
      <c r="AV40" s="7">
        <f>+AV24+AV30+AV36+AV38</f>
        <v>8689</v>
      </c>
      <c r="AW40" s="7">
        <f t="shared" si="6"/>
        <v>57736</v>
      </c>
      <c r="AY40" s="7">
        <f>SUM(B40:AW40)</f>
        <v>989939104.2816578</v>
      </c>
      <c r="AZ40" s="7"/>
    </row>
    <row r="41" spans="1:52" ht="5.25" customHeight="1">
      <c r="A41" s="10"/>
      <c r="E41" s="11"/>
      <c r="F41" s="11"/>
      <c r="G41" s="11"/>
      <c r="N41" s="19"/>
      <c r="Q41" s="11"/>
      <c r="R41" s="11"/>
      <c r="S41" s="11"/>
      <c r="T41" s="11"/>
      <c r="U41" s="11"/>
      <c r="V41" s="7"/>
      <c r="X41" s="11"/>
      <c r="Z41" s="11"/>
      <c r="AB41" s="11"/>
      <c r="AC41" s="19"/>
      <c r="AF41" s="11"/>
      <c r="AG41" s="11"/>
      <c r="AI41" s="11"/>
      <c r="AK41" s="11"/>
      <c r="AL41" s="11"/>
      <c r="AM41" s="11"/>
      <c r="AN41" s="11"/>
      <c r="AP41" s="11"/>
      <c r="AQ41" s="11"/>
      <c r="AR41" s="11"/>
      <c r="AS41" s="11"/>
      <c r="AT41" s="11"/>
      <c r="AU41" s="11"/>
      <c r="AY41" s="7"/>
      <c r="AZ41" s="7"/>
    </row>
    <row r="42" spans="1:52" ht="12.75">
      <c r="A42" s="9" t="s">
        <v>253</v>
      </c>
      <c r="N42" s="19"/>
      <c r="Q42" s="11"/>
      <c r="R42" s="11"/>
      <c r="S42" s="11" t="s">
        <v>57</v>
      </c>
      <c r="T42" s="11"/>
      <c r="U42" s="11"/>
      <c r="V42" s="11"/>
      <c r="X42" s="11"/>
      <c r="Z42" s="11"/>
      <c r="AB42" s="11"/>
      <c r="AC42" s="19"/>
      <c r="AF42" s="11"/>
      <c r="AG42" s="11"/>
      <c r="AI42" s="11"/>
      <c r="AK42" s="11"/>
      <c r="AL42" s="11"/>
      <c r="AM42" s="11"/>
      <c r="AN42" s="11"/>
      <c r="AP42" s="11"/>
      <c r="AQ42" s="11"/>
      <c r="AR42" s="11"/>
      <c r="AS42" s="11"/>
      <c r="AT42" s="11"/>
      <c r="AU42" s="11"/>
      <c r="AY42" s="7"/>
      <c r="AZ42" s="7"/>
    </row>
    <row r="43" spans="1:52" ht="5.25" customHeight="1">
      <c r="A43" s="10"/>
      <c r="E43" s="11"/>
      <c r="F43" s="11"/>
      <c r="G43" s="11"/>
      <c r="N43" s="19"/>
      <c r="Q43" s="11"/>
      <c r="R43" s="11"/>
      <c r="S43" s="11"/>
      <c r="T43" s="11"/>
      <c r="U43" s="11"/>
      <c r="V43" s="11"/>
      <c r="X43" s="11"/>
      <c r="Z43" s="11"/>
      <c r="AB43" s="11"/>
      <c r="AC43" s="19"/>
      <c r="AF43" s="11"/>
      <c r="AG43" s="11"/>
      <c r="AI43" s="11"/>
      <c r="AK43" s="11"/>
      <c r="AL43" s="11"/>
      <c r="AM43" s="11"/>
      <c r="AN43" s="11"/>
      <c r="AP43" s="11"/>
      <c r="AQ43" s="11"/>
      <c r="AR43" s="11"/>
      <c r="AS43" s="11"/>
      <c r="AT43" s="11"/>
      <c r="AU43" s="11"/>
      <c r="AY43" s="7"/>
      <c r="AZ43" s="7"/>
    </row>
    <row r="44" spans="1:52" ht="12.75">
      <c r="A44" s="10" t="s">
        <v>254</v>
      </c>
      <c r="B44" s="7">
        <f>+'4.1. Samtryggingard.'!B106+'4.1. Samtryggingard.'!C106+'5.1. Séreignard.'!B108+'5.1. Séreignard.'!C108+'5.1. Séreignard.'!D108</f>
        <v>43988</v>
      </c>
      <c r="C44" s="7">
        <f>+'4.1. Samtryggingard.'!D106+'5.1. Séreignard.'!E108</f>
        <v>0</v>
      </c>
      <c r="D44" s="7">
        <f>+'4.1. Samtryggingard.'!E106+'5.1. Séreignard.'!F108+'5.1. Séreignard.'!G108</f>
        <v>0</v>
      </c>
      <c r="E44" s="7">
        <f>+'4.1. Samtryggingard.'!F106+'5.1. Séreignard.'!H108+'5.1. Séreignard.'!I108+'5.1. Séreignard.'!J108</f>
        <v>0</v>
      </c>
      <c r="F44" s="7">
        <f>+'4.1. Samtryggingard.'!G106+'4.1. Samtryggingard.'!H106+'5.1. Séreignard.'!K108+'5.1. Séreignard.'!L108</f>
        <v>0</v>
      </c>
      <c r="G44" s="7">
        <f>+'4.1. Samtryggingard.'!I106+'5.1. Séreignard.'!M108+'5.1. Séreignard.'!N108</f>
        <v>0</v>
      </c>
      <c r="H44" s="7">
        <f>+'4.1. Samtryggingard.'!J106+'5.1. Séreignard.'!O108+'5.1. Séreignard.'!P108+'5.1. Séreignard.'!Q108</f>
        <v>0</v>
      </c>
      <c r="I44" s="7">
        <f>+'4.1. Samtryggingard.'!K106+'5.1. Séreignard.'!R108</f>
        <v>0</v>
      </c>
      <c r="J44" s="7">
        <f>+'4.1. Samtryggingard.'!L106+'5.1. Séreignard.'!S108+'5.1. Séreignard.'!T108+'5.1. Séreignard.'!U108+'5.1. Séreignard.'!V108</f>
        <v>0</v>
      </c>
      <c r="K44" s="7">
        <f>+'4.1. Samtryggingard.'!M106+'5.1. Séreignard.'!W108+'5.1. Séreignard.'!X108</f>
        <v>0</v>
      </c>
      <c r="L44" s="7">
        <f>+'4.1. Samtryggingard.'!N106+'4.1. Samtryggingard.'!O106</f>
        <v>0</v>
      </c>
      <c r="M44" s="7">
        <f>+'4.1. Samtryggingard.'!P106+'4.1. Samtryggingard.'!Q106+'5.1. Séreignard.'!Y108</f>
        <v>0</v>
      </c>
      <c r="N44" s="7">
        <f>+'4.1. Samtryggingard.'!R106</f>
        <v>0</v>
      </c>
      <c r="O44" s="7">
        <f>+'4.1. Samtryggingard.'!S106+'5.1. Séreignard.'!Z108</f>
        <v>0</v>
      </c>
      <c r="P44" s="7">
        <f>+'4.1. Samtryggingard.'!T106+'5.1. Séreignard.'!AA108</f>
        <v>0</v>
      </c>
      <c r="Q44" s="7">
        <f>+'4.1. Samtryggingard.'!U106+'5.1. Séreignard.'!AB108</f>
        <v>0</v>
      </c>
      <c r="R44" s="7">
        <f>+'4.1. Samtryggingard.'!V106</f>
        <v>4000</v>
      </c>
      <c r="S44" s="7">
        <f>+'4.1. Samtryggingard.'!W106</f>
        <v>0</v>
      </c>
      <c r="T44" s="7">
        <f>+'4.1. Samtryggingard.'!X106+'5.1. Séreignard.'!AC108+'5.1. Séreignard.'!AD108</f>
        <v>0</v>
      </c>
      <c r="U44" s="7">
        <f>+'4.1. Samtryggingard.'!Y106</f>
        <v>0</v>
      </c>
      <c r="V44" s="7">
        <f>+'4.1. Samtryggingard.'!Z106+'4.1. Samtryggingard.'!AA106+'5.1. Séreignard.'!AE108+'5.1. Séreignard.'!AF108+'5.1. Séreignard.'!AG108</f>
        <v>0</v>
      </c>
      <c r="W44" s="7">
        <f>+'4.1. Samtryggingard.'!AB106+'5.1. Séreignard.'!AH108</f>
        <v>0</v>
      </c>
      <c r="X44" s="7">
        <f>+'4.1. Samtryggingard.'!AC106</f>
        <v>0</v>
      </c>
      <c r="Y44" s="7">
        <f>+'4.1. Samtryggingard.'!AD106+'5.1. Séreignard.'!AI108+'5.1. Séreignard.'!AJ108+'5.1. Séreignard.'!AK108+'5.1. Séreignard.'!AL108</f>
        <v>0</v>
      </c>
      <c r="Z44" s="7">
        <f>+'4.1. Samtryggingard.'!AE106</f>
        <v>0</v>
      </c>
      <c r="AA44" s="7">
        <f>+'4.1. Samtryggingard.'!AF106</f>
        <v>0</v>
      </c>
      <c r="AB44" s="7">
        <f>+'4.1. Samtryggingard.'!AG106</f>
        <v>0</v>
      </c>
      <c r="AC44" s="7">
        <f>+'4.1. Samtryggingard.'!AH106</f>
        <v>0</v>
      </c>
      <c r="AD44" s="7">
        <f>+'4.1. Samtryggingard.'!AI106+'4.1. Samtryggingard.'!AJ106</f>
        <v>0</v>
      </c>
      <c r="AE44" s="7">
        <f>+'4.1. Samtryggingard.'!AK106+'5.1. Séreignard.'!AM108</f>
        <v>0</v>
      </c>
      <c r="AF44" s="7">
        <f>+'4.1. Samtryggingard.'!AL106</f>
        <v>0</v>
      </c>
      <c r="AG44" s="7">
        <f>+'4.1. Samtryggingard.'!AM106</f>
        <v>0</v>
      </c>
      <c r="AH44" s="7">
        <f>+'4.1. Samtryggingard.'!AN106+'5.1. Séreignard.'!AN108</f>
        <v>0</v>
      </c>
      <c r="AI44" s="7">
        <f>+'4.1. Samtryggingard.'!AO106</f>
        <v>0</v>
      </c>
      <c r="AJ44" s="7">
        <f>+'4.1. Samtryggingard.'!AP106</f>
        <v>0</v>
      </c>
      <c r="AK44" s="7">
        <f>+'4.1. Samtryggingard.'!AQ106</f>
        <v>0</v>
      </c>
      <c r="AL44" s="7">
        <f>+'4.1. Samtryggingard.'!AR106</f>
        <v>0</v>
      </c>
      <c r="AM44" s="7">
        <f>+'4.1. Samtryggingard.'!AS106</f>
        <v>0</v>
      </c>
      <c r="AN44" s="7">
        <f>+'4.1. Samtryggingard.'!AT106</f>
        <v>0</v>
      </c>
      <c r="AO44" s="7">
        <f>+'4.1. Samtryggingard.'!AU106</f>
        <v>0</v>
      </c>
      <c r="AP44" s="7">
        <f>+'4.1. Samtryggingard.'!AV106</f>
        <v>0</v>
      </c>
      <c r="AQ44" s="7">
        <f>+'4.1. Samtryggingard.'!AW106</f>
        <v>0</v>
      </c>
      <c r="AR44" s="7">
        <f>+'4.1. Samtryggingard.'!AX106</f>
        <v>0</v>
      </c>
      <c r="AS44" s="7">
        <f>+'4.1. Samtryggingard.'!AY106</f>
        <v>0</v>
      </c>
      <c r="AT44" s="7">
        <f>+'4.1. Samtryggingard.'!AZ106</f>
        <v>0</v>
      </c>
      <c r="AU44" s="7">
        <f>+'4.1. Samtryggingard.'!BA106</f>
        <v>0</v>
      </c>
      <c r="AV44" s="7">
        <f>+'4.1. Samtryggingard.'!BB106</f>
        <v>0</v>
      </c>
      <c r="AW44" s="7">
        <f>+'4.1. Samtryggingard.'!BC106</f>
        <v>0</v>
      </c>
      <c r="AY44" s="7">
        <f>SUM(B44:AX44)</f>
        <v>47988</v>
      </c>
      <c r="AZ44" s="7"/>
    </row>
    <row r="45" spans="1:52" ht="6" customHeight="1">
      <c r="A45" s="1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Y45" s="7"/>
      <c r="AZ45" s="7"/>
    </row>
    <row r="46" spans="1:52" ht="12.75">
      <c r="A46" s="10" t="s">
        <v>255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Y46" s="7"/>
      <c r="AZ46" s="7"/>
    </row>
    <row r="47" spans="1:52" ht="12.75">
      <c r="A47" s="7" t="s">
        <v>256</v>
      </c>
      <c r="B47" s="8">
        <f>+'4.1. Samtryggingard.'!B109+'4.1. Samtryggingard.'!C109+'5.1. Séreignard.'!B111+'5.1. Séreignard.'!C111+'5.1. Séreignard.'!D111</f>
        <v>0</v>
      </c>
      <c r="C47" s="8">
        <f>+'4.1. Samtryggingard.'!D109+'5.1. Séreignard.'!E111</f>
        <v>0</v>
      </c>
      <c r="D47" s="8">
        <f>+'4.1. Samtryggingard.'!E109+'5.1. Séreignard.'!F111+'5.1. Séreignard.'!G111</f>
        <v>26711.764</v>
      </c>
      <c r="E47" s="7">
        <f>+'4.1. Samtryggingard.'!F109+'5.1. Séreignard.'!H111+'5.1. Séreignard.'!I111+'5.1. Séreignard.'!J111</f>
        <v>0</v>
      </c>
      <c r="F47" s="7">
        <f>+'4.1. Samtryggingard.'!G109+'4.1. Samtryggingard.'!H109+'5.1. Séreignard.'!K111+'5.1. Séreignard.'!L111</f>
        <v>0</v>
      </c>
      <c r="G47" s="7">
        <f>+'4.1. Samtryggingard.'!I109+'5.1. Séreignard.'!M111+'5.1. Séreignard.'!N111</f>
        <v>0</v>
      </c>
      <c r="H47" s="7">
        <f>+'4.1. Samtryggingard.'!J109+'5.1. Séreignard.'!O111+'5.1. Séreignard.'!P111+'5.1. Séreignard.'!Q111</f>
        <v>0</v>
      </c>
      <c r="I47" s="7">
        <f>+'4.1. Samtryggingard.'!K109+'5.1. Séreignard.'!R111</f>
        <v>0</v>
      </c>
      <c r="J47" s="7">
        <f>+'4.1. Samtryggingard.'!L109+'5.1. Séreignard.'!S111+'5.1. Séreignard.'!T111+'5.1. Séreignard.'!U111+'5.1. Séreignard.'!V111</f>
        <v>0</v>
      </c>
      <c r="K47" s="7">
        <f>+'4.1. Samtryggingard.'!M109+'5.1. Séreignard.'!W111+'5.1. Séreignard.'!X111</f>
        <v>0</v>
      </c>
      <c r="L47" s="7">
        <f>+'4.1. Samtryggingard.'!N109+'4.1. Samtryggingard.'!O109</f>
        <v>0</v>
      </c>
      <c r="M47" s="7">
        <f>+'4.1. Samtryggingard.'!P109+'4.1. Samtryggingard.'!Q109+'5.1. Séreignard.'!Y111</f>
        <v>0</v>
      </c>
      <c r="N47" s="7">
        <f>+'4.1. Samtryggingard.'!R109</f>
        <v>0</v>
      </c>
      <c r="O47" s="7">
        <f>+'4.1. Samtryggingard.'!S109+'5.1. Séreignard.'!Z111</f>
        <v>0</v>
      </c>
      <c r="P47" s="7">
        <f>+'4.1. Samtryggingard.'!T109+'5.1. Séreignard.'!AA111</f>
        <v>0</v>
      </c>
      <c r="Q47" s="7">
        <f>+'4.1. Samtryggingard.'!U109+'5.1. Séreignard.'!AB111</f>
        <v>0</v>
      </c>
      <c r="R47" s="7">
        <f>+'4.1. Samtryggingard.'!V109</f>
        <v>0</v>
      </c>
      <c r="S47" s="7">
        <f>+'4.1. Samtryggingard.'!W109</f>
        <v>0</v>
      </c>
      <c r="T47" s="7">
        <f>+'4.1. Samtryggingard.'!X109+'5.1. Séreignard.'!AC111+'5.1. Séreignard.'!AD111</f>
        <v>0</v>
      </c>
      <c r="U47" s="7">
        <f>+'4.1. Samtryggingard.'!Y109</f>
        <v>0</v>
      </c>
      <c r="V47" s="7">
        <f>+'4.1. Samtryggingard.'!Z109+'4.1. Samtryggingard.'!AA109+'5.1. Séreignard.'!AE111+'5.1. Séreignard.'!AF111+'5.1. Séreignard.'!AG111</f>
        <v>0</v>
      </c>
      <c r="W47" s="7">
        <f>+'4.1. Samtryggingard.'!AB109+'5.1. Séreignard.'!AH111</f>
        <v>0</v>
      </c>
      <c r="X47" s="7">
        <f>+'4.1. Samtryggingard.'!AC109</f>
        <v>0</v>
      </c>
      <c r="Y47" s="7">
        <f>+'4.1. Samtryggingard.'!AD109+'5.1. Séreignard.'!AI111+'5.1. Séreignard.'!AJ111+'5.1. Séreignard.'!AK111+'5.1. Séreignard.'!AL111</f>
        <v>0</v>
      </c>
      <c r="Z47" s="7">
        <f>+'4.1. Samtryggingard.'!AE109</f>
        <v>0</v>
      </c>
      <c r="AA47" s="7">
        <f>+'4.1. Samtryggingard.'!AF109</f>
        <v>0</v>
      </c>
      <c r="AB47" s="7">
        <f>+'4.1. Samtryggingard.'!AG109</f>
        <v>0</v>
      </c>
      <c r="AC47" s="7">
        <f>+'4.1. Samtryggingard.'!AH109</f>
        <v>0</v>
      </c>
      <c r="AD47" s="7">
        <f>+'4.1. Samtryggingard.'!AI109+'4.1. Samtryggingard.'!AJ109</f>
        <v>0</v>
      </c>
      <c r="AE47" s="7">
        <f>+'4.1. Samtryggingard.'!AK109+'5.1. Séreignard.'!AM111</f>
        <v>0</v>
      </c>
      <c r="AF47" s="7">
        <f>+'4.1. Samtryggingard.'!AL109</f>
        <v>0</v>
      </c>
      <c r="AG47" s="7">
        <f>+'4.1. Samtryggingard.'!AM109</f>
        <v>0</v>
      </c>
      <c r="AH47" s="7">
        <f>+'4.1. Samtryggingard.'!AN109+'5.1. Séreignard.'!AN111</f>
        <v>0</v>
      </c>
      <c r="AI47" s="7">
        <f>+'4.1. Samtryggingard.'!AO109</f>
        <v>0</v>
      </c>
      <c r="AJ47" s="7">
        <f>+'4.1. Samtryggingard.'!AP109</f>
        <v>0</v>
      </c>
      <c r="AK47" s="7">
        <f>+'4.1. Samtryggingard.'!AQ109</f>
        <v>0</v>
      </c>
      <c r="AL47" s="7">
        <f>+'4.1. Samtryggingard.'!AR109</f>
        <v>0</v>
      </c>
      <c r="AM47" s="7">
        <f>+'4.1. Samtryggingard.'!AS109</f>
        <v>0</v>
      </c>
      <c r="AN47" s="7">
        <f>+'4.1. Samtryggingard.'!AT109</f>
        <v>0</v>
      </c>
      <c r="AO47" s="7">
        <f>+'4.1. Samtryggingard.'!AU109</f>
        <v>0</v>
      </c>
      <c r="AP47" s="7">
        <f>+'4.1. Samtryggingard.'!AV109</f>
        <v>0</v>
      </c>
      <c r="AQ47" s="7">
        <f>+'4.1. Samtryggingard.'!AW109</f>
        <v>0</v>
      </c>
      <c r="AR47" s="7">
        <f>+'4.1. Samtryggingard.'!AX109</f>
        <v>0</v>
      </c>
      <c r="AS47" s="7">
        <f>+'4.1. Samtryggingard.'!AY109</f>
        <v>0</v>
      </c>
      <c r="AT47" s="7">
        <f>+'4.1. Samtryggingard.'!AZ109</f>
        <v>0</v>
      </c>
      <c r="AU47" s="7">
        <f>+'4.1. Samtryggingard.'!BA109</f>
        <v>0</v>
      </c>
      <c r="AV47" s="7">
        <f>+'4.1. Samtryggingard.'!BB109</f>
        <v>0</v>
      </c>
      <c r="AW47" s="7">
        <f>+'4.1. Samtryggingard.'!BC109</f>
        <v>0</v>
      </c>
      <c r="AY47" s="7">
        <f>SUM(B47:AX47)</f>
        <v>26711.764</v>
      </c>
      <c r="AZ47" s="7"/>
    </row>
    <row r="48" spans="1:52" ht="12.75">
      <c r="A48" s="7" t="s">
        <v>257</v>
      </c>
      <c r="B48" s="8">
        <f>+'4.1. Samtryggingard.'!B110+'4.1. Samtryggingard.'!C110+'5.1. Séreignard.'!B112+'5.1. Séreignard.'!C112+'5.1. Séreignard.'!D112</f>
        <v>147599.4</v>
      </c>
      <c r="C48" s="8">
        <f>+'4.1. Samtryggingard.'!D110+'5.1. Séreignard.'!E112</f>
        <v>0</v>
      </c>
      <c r="D48" s="8">
        <f>+'4.1. Samtryggingard.'!E110+'5.1. Séreignard.'!F112+'5.1. Séreignard.'!G112</f>
        <v>0</v>
      </c>
      <c r="E48" s="7">
        <f>+'4.1. Samtryggingard.'!F110+'5.1. Séreignard.'!H112+'5.1. Séreignard.'!I112+'5.1. Séreignard.'!J112</f>
        <v>0</v>
      </c>
      <c r="F48" s="7">
        <f>+'4.1. Samtryggingard.'!G110+'4.1. Samtryggingard.'!H110+'5.1. Séreignard.'!K112+'5.1. Séreignard.'!L112</f>
        <v>0</v>
      </c>
      <c r="G48" s="7">
        <f>+'4.1. Samtryggingard.'!I110+'5.1. Séreignard.'!M112+'5.1. Séreignard.'!N112</f>
        <v>0</v>
      </c>
      <c r="H48" s="7">
        <f>+'4.1. Samtryggingard.'!J110+'5.1. Séreignard.'!O112+'5.1. Séreignard.'!P112+'5.1. Séreignard.'!Q112</f>
        <v>58242.5</v>
      </c>
      <c r="I48" s="7">
        <f>+'4.1. Samtryggingard.'!K110+'5.1. Séreignard.'!R112</f>
        <v>0</v>
      </c>
      <c r="J48" s="7">
        <f>+'4.1. Samtryggingard.'!L110+'5.1. Séreignard.'!S112+'5.1. Séreignard.'!T112+'5.1. Séreignard.'!U112+'5.1. Séreignard.'!V112</f>
        <v>0</v>
      </c>
      <c r="K48" s="7">
        <f>+'4.1. Samtryggingard.'!M110+'5.1. Séreignard.'!W112+'5.1. Séreignard.'!X112</f>
        <v>0</v>
      </c>
      <c r="L48" s="7">
        <f>+'4.1. Samtryggingard.'!N110+'4.1. Samtryggingard.'!O110</f>
        <v>0</v>
      </c>
      <c r="M48" s="7">
        <f>+'4.1. Samtryggingard.'!P110+'4.1. Samtryggingard.'!Q110+'5.1. Séreignard.'!Y112</f>
        <v>0</v>
      </c>
      <c r="N48" s="7">
        <f>+'4.1. Samtryggingard.'!R110</f>
        <v>0</v>
      </c>
      <c r="O48" s="7">
        <f>+'4.1. Samtryggingard.'!S110+'5.1. Séreignard.'!Z112</f>
        <v>0</v>
      </c>
      <c r="P48" s="7">
        <f>+'4.1. Samtryggingard.'!T110+'5.1. Séreignard.'!AA112</f>
        <v>3545</v>
      </c>
      <c r="Q48" s="7">
        <f>+'4.1. Samtryggingard.'!U110+'5.1. Séreignard.'!AB112</f>
        <v>0</v>
      </c>
      <c r="R48" s="7">
        <f>+'4.1. Samtryggingard.'!V110</f>
        <v>0</v>
      </c>
      <c r="S48" s="7">
        <f>+'4.1. Samtryggingard.'!W110</f>
        <v>0</v>
      </c>
      <c r="T48" s="7">
        <f>+'4.1. Samtryggingard.'!X110+'5.1. Séreignard.'!AC112+'5.1. Séreignard.'!AD112</f>
        <v>0</v>
      </c>
      <c r="U48" s="7">
        <f>+'4.1. Samtryggingard.'!Y110</f>
        <v>0</v>
      </c>
      <c r="V48" s="7">
        <f>+'4.1. Samtryggingard.'!Z110+'4.1. Samtryggingard.'!AA110+'5.1. Séreignard.'!AE112+'5.1. Séreignard.'!AF112+'5.1. Séreignard.'!AG112</f>
        <v>0</v>
      </c>
      <c r="W48" s="7">
        <f>+'4.1. Samtryggingard.'!AB110+'5.1. Séreignard.'!AH112</f>
        <v>0</v>
      </c>
      <c r="X48" s="7">
        <f>+'4.1. Samtryggingard.'!AC110</f>
        <v>0</v>
      </c>
      <c r="Y48" s="7">
        <f>+'4.1. Samtryggingard.'!AD110+'5.1. Séreignard.'!AI112+'5.1. Séreignard.'!AJ112+'5.1. Séreignard.'!AK112+'5.1. Séreignard.'!AL112</f>
        <v>0</v>
      </c>
      <c r="Z48" s="7">
        <f>+'4.1. Samtryggingard.'!AE110</f>
        <v>0</v>
      </c>
      <c r="AA48" s="7">
        <f>+'4.1. Samtryggingard.'!AF110</f>
        <v>0</v>
      </c>
      <c r="AB48" s="7">
        <f>+'4.1. Samtryggingard.'!AG110</f>
        <v>0</v>
      </c>
      <c r="AC48" s="7">
        <f>+'4.1. Samtryggingard.'!AH110</f>
        <v>0</v>
      </c>
      <c r="AD48" s="7">
        <f>+'4.1. Samtryggingard.'!AI110+'4.1. Samtryggingard.'!AJ110</f>
        <v>0</v>
      </c>
      <c r="AE48" s="7">
        <f>+'4.1. Samtryggingard.'!AK110+'5.1. Séreignard.'!AM112</f>
        <v>0</v>
      </c>
      <c r="AF48" s="7">
        <f>+'4.1. Samtryggingard.'!AL110</f>
        <v>0</v>
      </c>
      <c r="AG48" s="7">
        <f>+'4.1. Samtryggingard.'!AM110</f>
        <v>0</v>
      </c>
      <c r="AH48" s="7">
        <f>+'4.1. Samtryggingard.'!AN110+'5.1. Séreignard.'!AN112</f>
        <v>0</v>
      </c>
      <c r="AI48" s="7">
        <f>+'4.1. Samtryggingard.'!AO110</f>
        <v>0</v>
      </c>
      <c r="AJ48" s="7">
        <f>+'4.1. Samtryggingard.'!AP110</f>
        <v>0</v>
      </c>
      <c r="AK48" s="7">
        <f>+'4.1. Samtryggingard.'!AQ110</f>
        <v>0</v>
      </c>
      <c r="AL48" s="7">
        <f>+'4.1. Samtryggingard.'!AR110</f>
        <v>3702</v>
      </c>
      <c r="AM48" s="7">
        <f>+'4.1. Samtryggingard.'!AS110</f>
        <v>0</v>
      </c>
      <c r="AN48" s="7">
        <f>+'4.1. Samtryggingard.'!AT110</f>
        <v>0</v>
      </c>
      <c r="AO48" s="7">
        <f>+'4.1. Samtryggingard.'!AU110</f>
        <v>0</v>
      </c>
      <c r="AP48" s="7">
        <f>+'4.1. Samtryggingard.'!AV110</f>
        <v>0</v>
      </c>
      <c r="AQ48" s="7">
        <f>+'4.1. Samtryggingard.'!AW110</f>
        <v>0</v>
      </c>
      <c r="AR48" s="7">
        <f>+'4.1. Samtryggingard.'!AX110</f>
        <v>0</v>
      </c>
      <c r="AS48" s="7">
        <f>+'4.1. Samtryggingard.'!AY110</f>
        <v>0</v>
      </c>
      <c r="AT48" s="7">
        <f>+'4.1. Samtryggingard.'!AZ110</f>
        <v>0</v>
      </c>
      <c r="AU48" s="7">
        <f>+'4.1. Samtryggingard.'!BA110</f>
        <v>0</v>
      </c>
      <c r="AV48" s="7">
        <f>+'4.1. Samtryggingard.'!BB110</f>
        <v>0</v>
      </c>
      <c r="AW48" s="7">
        <f>+'4.1. Samtryggingard.'!BC110</f>
        <v>0</v>
      </c>
      <c r="AY48" s="7">
        <f>SUM(B48:AX48)</f>
        <v>213088.9</v>
      </c>
      <c r="AZ48" s="7"/>
    </row>
    <row r="49" spans="1:52" ht="12.75">
      <c r="A49" s="10" t="s">
        <v>258</v>
      </c>
      <c r="B49" s="8">
        <f>+'4.1. Samtryggingard.'!B111+'4.1. Samtryggingard.'!C111+'5.1. Séreignard.'!B113+'5.1. Séreignard.'!C113+'5.1. Séreignard.'!D113</f>
        <v>0</v>
      </c>
      <c r="C49" s="8">
        <f>+'4.1. Samtryggingard.'!D111+'5.1. Séreignard.'!E113</f>
        <v>0</v>
      </c>
      <c r="D49" s="8">
        <f>+'4.1. Samtryggingard.'!E111+'5.1. Séreignard.'!F113+'5.1. Séreignard.'!G113</f>
        <v>0</v>
      </c>
      <c r="E49" s="7">
        <f>+'4.1. Samtryggingard.'!F111+'5.1. Séreignard.'!H113+'5.1. Séreignard.'!I113+'5.1. Séreignard.'!J113</f>
        <v>0</v>
      </c>
      <c r="F49" s="7">
        <f>+'4.1. Samtryggingard.'!G111+'4.1. Samtryggingard.'!H111+'5.1. Séreignard.'!K113+'5.1. Séreignard.'!L113</f>
        <v>0</v>
      </c>
      <c r="G49" s="7">
        <f>+'4.1. Samtryggingard.'!I111+'5.1. Séreignard.'!M113+'5.1. Séreignard.'!N113</f>
        <v>0</v>
      </c>
      <c r="H49" s="7">
        <f>+'4.1. Samtryggingard.'!J111+'5.1. Séreignard.'!O113+'5.1. Séreignard.'!P113+'5.1. Séreignard.'!Q113</f>
        <v>240811.5</v>
      </c>
      <c r="I49" s="7">
        <f>+'4.1. Samtryggingard.'!K111+'5.1. Séreignard.'!R113</f>
        <v>0</v>
      </c>
      <c r="J49" s="7">
        <f>+'4.1. Samtryggingard.'!L111+'5.1. Séreignard.'!S113+'5.1. Séreignard.'!T113+'5.1. Séreignard.'!U113+'5.1. Séreignard.'!V113</f>
        <v>0</v>
      </c>
      <c r="K49" s="7">
        <f>+'4.1. Samtryggingard.'!M111+'5.1. Séreignard.'!W113+'5.1. Séreignard.'!X113</f>
        <v>0</v>
      </c>
      <c r="L49" s="7">
        <f>+'4.1. Samtryggingard.'!N111+'4.1. Samtryggingard.'!O111</f>
        <v>0</v>
      </c>
      <c r="M49" s="7">
        <f>+'4.1. Samtryggingard.'!P111+'4.1. Samtryggingard.'!Q111+'5.1. Séreignard.'!Y113</f>
        <v>0</v>
      </c>
      <c r="N49" s="7">
        <f>+'4.1. Samtryggingard.'!R111</f>
        <v>0</v>
      </c>
      <c r="O49" s="7">
        <f>+'4.1. Samtryggingard.'!S111+'5.1. Séreignard.'!Z113</f>
        <v>0</v>
      </c>
      <c r="P49" s="7">
        <f>+'4.1. Samtryggingard.'!T111+'5.1. Séreignard.'!AA113</f>
        <v>0</v>
      </c>
      <c r="Q49" s="7">
        <f>+'4.1. Samtryggingard.'!U111+'5.1. Séreignard.'!AB113</f>
        <v>0</v>
      </c>
      <c r="R49" s="7">
        <f>+'4.1. Samtryggingard.'!V111</f>
        <v>0</v>
      </c>
      <c r="S49" s="7">
        <f>+'4.1. Samtryggingard.'!W111</f>
        <v>0</v>
      </c>
      <c r="T49" s="7">
        <f>+'4.1. Samtryggingard.'!X111+'5.1. Séreignard.'!AC113+'5.1. Séreignard.'!AD113</f>
        <v>0</v>
      </c>
      <c r="U49" s="7">
        <f>+'4.1. Samtryggingard.'!Y111</f>
        <v>0</v>
      </c>
      <c r="V49" s="7">
        <f>+'4.1. Samtryggingard.'!Z111+'4.1. Samtryggingard.'!AA111+'5.1. Séreignard.'!AE113+'5.1. Séreignard.'!AF113+'5.1. Séreignard.'!AG113</f>
        <v>0</v>
      </c>
      <c r="W49" s="7">
        <f>+'4.1. Samtryggingard.'!AB111+'5.1. Séreignard.'!AH113</f>
        <v>0</v>
      </c>
      <c r="X49" s="7">
        <f>+'4.1. Samtryggingard.'!AC111</f>
        <v>0</v>
      </c>
      <c r="Y49" s="7">
        <f>+'4.1. Samtryggingard.'!AD111+'5.1. Séreignard.'!AI113+'5.1. Séreignard.'!AJ113+'5.1. Séreignard.'!AK113+'5.1. Séreignard.'!AL113</f>
        <v>0</v>
      </c>
      <c r="Z49" s="7">
        <f>+'4.1. Samtryggingard.'!AE111</f>
        <v>0</v>
      </c>
      <c r="AA49" s="7">
        <f>+'4.1. Samtryggingard.'!AF111</f>
        <v>0</v>
      </c>
      <c r="AB49" s="7">
        <f>+'4.1. Samtryggingard.'!AG111</f>
        <v>0</v>
      </c>
      <c r="AC49" s="7">
        <f>+'4.1. Samtryggingard.'!AH111</f>
        <v>0</v>
      </c>
      <c r="AD49" s="7">
        <f>+'4.1. Samtryggingard.'!AI111+'4.1. Samtryggingard.'!AJ111</f>
        <v>0</v>
      </c>
      <c r="AE49" s="7">
        <f>+'4.1. Samtryggingard.'!AK111+'5.1. Séreignard.'!AM113</f>
        <v>0</v>
      </c>
      <c r="AF49" s="7">
        <f>+'4.1. Samtryggingard.'!AL111</f>
        <v>0</v>
      </c>
      <c r="AG49" s="7">
        <f>+'4.1. Samtryggingard.'!AM111</f>
        <v>0</v>
      </c>
      <c r="AH49" s="7">
        <f>+'4.1. Samtryggingard.'!AN111+'5.1. Séreignard.'!AN113</f>
        <v>0</v>
      </c>
      <c r="AI49" s="7">
        <f>+'4.1. Samtryggingard.'!AO111</f>
        <v>0</v>
      </c>
      <c r="AJ49" s="7">
        <f>+'4.1. Samtryggingard.'!AP111</f>
        <v>0</v>
      </c>
      <c r="AK49" s="7">
        <f>+'4.1. Samtryggingard.'!AQ111</f>
        <v>0</v>
      </c>
      <c r="AL49" s="7">
        <f>+'4.1. Samtryggingard.'!AR111</f>
        <v>0</v>
      </c>
      <c r="AM49" s="7">
        <f>+'4.1. Samtryggingard.'!AS111</f>
        <v>0</v>
      </c>
      <c r="AN49" s="7">
        <f>+'4.1. Samtryggingard.'!AT111</f>
        <v>0</v>
      </c>
      <c r="AO49" s="7">
        <f>+'4.1. Samtryggingard.'!AU111</f>
        <v>0</v>
      </c>
      <c r="AP49" s="7">
        <f>+'4.1. Samtryggingard.'!AV111</f>
        <v>0</v>
      </c>
      <c r="AQ49" s="7">
        <f>+'4.1. Samtryggingard.'!AW111</f>
        <v>0</v>
      </c>
      <c r="AR49" s="7">
        <f>+'4.1. Samtryggingard.'!AX111</f>
        <v>0</v>
      </c>
      <c r="AS49" s="7">
        <f>+'4.1. Samtryggingard.'!AY111</f>
        <v>0</v>
      </c>
      <c r="AT49" s="7">
        <f>+'4.1. Samtryggingard.'!AZ111</f>
        <v>0</v>
      </c>
      <c r="AU49" s="7">
        <f>+'4.1. Samtryggingard.'!BA111</f>
        <v>0</v>
      </c>
      <c r="AV49" s="7">
        <f>+'4.1. Samtryggingard.'!BB111</f>
        <v>0</v>
      </c>
      <c r="AW49" s="7">
        <f>+'4.1. Samtryggingard.'!BC111</f>
        <v>0</v>
      </c>
      <c r="AX49" s="232"/>
      <c r="AY49" s="7">
        <f>SUM(B49:AX49)</f>
        <v>240811.5</v>
      </c>
      <c r="AZ49" s="7"/>
    </row>
    <row r="50" spans="1:52" ht="12.75">
      <c r="A50" s="7" t="s">
        <v>259</v>
      </c>
      <c r="B50" s="8">
        <f>+'4.1. Samtryggingard.'!B112+'4.1. Samtryggingard.'!C112+'5.1. Séreignard.'!B114+'5.1. Séreignard.'!C114+'5.1. Séreignard.'!D114</f>
        <v>393419.80000000005</v>
      </c>
      <c r="C50" s="8">
        <f>+'4.1. Samtryggingard.'!D112+'5.1. Séreignard.'!E114</f>
        <v>209710</v>
      </c>
      <c r="D50" s="8">
        <f>+'4.1. Samtryggingard.'!E112+'5.1. Séreignard.'!F114+'5.1. Séreignard.'!G114</f>
        <v>88320.637</v>
      </c>
      <c r="E50" s="7">
        <f>+'4.1. Samtryggingard.'!F112+'5.1. Séreignard.'!H114+'5.1. Séreignard.'!I114+'5.1. Séreignard.'!J114</f>
        <v>23372</v>
      </c>
      <c r="F50" s="7">
        <f>+'4.1. Samtryggingard.'!G112+'4.1. Samtryggingard.'!H112+'5.1. Séreignard.'!K114+'5.1. Séreignard.'!L114</f>
        <v>1492428</v>
      </c>
      <c r="G50" s="7">
        <f>+'4.1. Samtryggingard.'!I112+'5.1. Séreignard.'!M114+'5.1. Séreignard.'!N114</f>
        <v>35694</v>
      </c>
      <c r="H50" s="7">
        <f>+'4.1. Samtryggingard.'!J112+'5.1. Séreignard.'!O114+'5.1. Séreignard.'!P114+'5.1. Séreignard.'!Q114</f>
        <v>0</v>
      </c>
      <c r="I50" s="7">
        <f>+'4.1. Samtryggingard.'!K112+'5.1. Séreignard.'!R114</f>
        <v>28009</v>
      </c>
      <c r="J50" s="7">
        <f>+'4.1. Samtryggingard.'!L112+'5.1. Séreignard.'!S114+'5.1. Séreignard.'!T114+'5.1. Séreignard.'!U114+'5.1. Séreignard.'!V114</f>
        <v>14578.948000000002</v>
      </c>
      <c r="K50" s="7">
        <f>+'4.1. Samtryggingard.'!M112+'5.1. Séreignard.'!W114+'5.1. Séreignard.'!X114</f>
        <v>171797</v>
      </c>
      <c r="L50" s="7">
        <f>+'4.1. Samtryggingard.'!N112+'4.1. Samtryggingard.'!O112</f>
        <v>3245</v>
      </c>
      <c r="M50" s="7">
        <f>+'4.1. Samtryggingard.'!P112+'4.1. Samtryggingard.'!Q112+'5.1. Séreignard.'!Y114</f>
        <v>13033</v>
      </c>
      <c r="N50" s="7">
        <f>+'4.1. Samtryggingard.'!R112</f>
        <v>11531</v>
      </c>
      <c r="O50" s="7">
        <f>+'4.1. Samtryggingard.'!S112+'5.1. Séreignard.'!Z114</f>
        <v>15807</v>
      </c>
      <c r="P50" s="7">
        <f>+'4.1. Samtryggingard.'!T112+'5.1. Séreignard.'!AA114</f>
        <v>16492</v>
      </c>
      <c r="Q50" s="7">
        <f>+'4.1. Samtryggingard.'!U112+'5.1. Séreignard.'!AB114</f>
        <v>7471</v>
      </c>
      <c r="R50" s="7">
        <f>+'4.1. Samtryggingard.'!V112</f>
        <v>15</v>
      </c>
      <c r="S50" s="7">
        <f>+'4.1. Samtryggingard.'!W112</f>
        <v>5550</v>
      </c>
      <c r="T50" s="7">
        <f>+'4.1. Samtryggingard.'!X112+'5.1. Séreignard.'!AC114+'5.1. Séreignard.'!AD114</f>
        <v>5163.624</v>
      </c>
      <c r="U50" s="7">
        <f>+'4.1. Samtryggingard.'!Y112</f>
        <v>14219</v>
      </c>
      <c r="V50" s="7">
        <f>+'4.1. Samtryggingard.'!Z112+'4.1. Samtryggingard.'!AA112+'5.1. Séreignard.'!AE114+'5.1. Séreignard.'!AF114+'5.1. Séreignard.'!AG114</f>
        <v>14261.196000000002</v>
      </c>
      <c r="W50" s="7">
        <f>+'4.1. Samtryggingard.'!AB112+'5.1. Séreignard.'!AH114</f>
        <v>2794</v>
      </c>
      <c r="X50" s="7">
        <f>+'4.1. Samtryggingard.'!AC112</f>
        <v>89375</v>
      </c>
      <c r="Y50" s="7">
        <f>+'4.1. Samtryggingard.'!AD112+'5.1. Séreignard.'!AI114+'5.1. Séreignard.'!AJ114+'5.1. Séreignard.'!AK114+'5.1. Séreignard.'!AL114</f>
        <v>37941.156</v>
      </c>
      <c r="Z50" s="7">
        <f>+'4.1. Samtryggingard.'!AE112</f>
        <v>11904</v>
      </c>
      <c r="AA50" s="7">
        <f>+'4.1. Samtryggingard.'!AF112</f>
        <v>9389.515</v>
      </c>
      <c r="AB50" s="7">
        <f>+'4.1. Samtryggingard.'!AG112</f>
        <v>0</v>
      </c>
      <c r="AC50" s="7">
        <f>+'4.1. Samtryggingard.'!AH112</f>
        <v>82</v>
      </c>
      <c r="AD50" s="7">
        <f>+'4.1. Samtryggingard.'!AI112+'4.1. Samtryggingard.'!AJ112</f>
        <v>2521</v>
      </c>
      <c r="AE50" s="7">
        <f>+'4.1. Samtryggingard.'!AK112+'5.1. Séreignard.'!AM114</f>
        <v>608</v>
      </c>
      <c r="AF50" s="7">
        <f>+'4.1. Samtryggingard.'!AL112</f>
        <v>0</v>
      </c>
      <c r="AG50" s="7">
        <f>+'4.1. Samtryggingard.'!AM112</f>
        <v>1087</v>
      </c>
      <c r="AH50" s="7">
        <f>+'4.1. Samtryggingard.'!AN112+'5.1. Séreignard.'!AN114</f>
        <v>11364</v>
      </c>
      <c r="AI50" s="7">
        <f>+'4.1. Samtryggingard.'!AO112</f>
        <v>3583.577</v>
      </c>
      <c r="AJ50" s="7">
        <f>+'4.1. Samtryggingard.'!AP112</f>
        <v>2541</v>
      </c>
      <c r="AK50" s="7">
        <f>+'4.1. Samtryggingard.'!AQ112</f>
        <v>2275</v>
      </c>
      <c r="AL50" s="7">
        <f>+'4.1. Samtryggingard.'!AR112</f>
        <v>2022</v>
      </c>
      <c r="AM50" s="7">
        <f>+'4.1. Samtryggingard.'!AS112</f>
        <v>2049</v>
      </c>
      <c r="AN50" s="7">
        <f>+'4.1. Samtryggingard.'!AT112</f>
        <v>1237</v>
      </c>
      <c r="AO50" s="7">
        <f>+'4.1. Samtryggingard.'!AU112</f>
        <v>794.061</v>
      </c>
      <c r="AP50" s="7">
        <f>+'4.1. Samtryggingard.'!AV112</f>
        <v>1918</v>
      </c>
      <c r="AQ50" s="7">
        <f>+'4.1. Samtryggingard.'!AW112</f>
        <v>1277</v>
      </c>
      <c r="AR50" s="7">
        <f>+'4.1. Samtryggingard.'!AX112</f>
        <v>0</v>
      </c>
      <c r="AS50" s="7">
        <f>+'4.1. Samtryggingard.'!AY112</f>
        <v>3049.656</v>
      </c>
      <c r="AT50" s="7">
        <f>+'4.1. Samtryggingard.'!AZ112</f>
        <v>3022</v>
      </c>
      <c r="AU50" s="7">
        <f>+'4.1. Samtryggingard.'!BA112</f>
        <v>1660</v>
      </c>
      <c r="AV50" s="7">
        <f>+'4.1. Samtryggingard.'!BB112</f>
        <v>722</v>
      </c>
      <c r="AW50" s="7">
        <f>+'4.1. Samtryggingard.'!BC112</f>
        <v>74123</v>
      </c>
      <c r="AY50" s="7">
        <f>SUM(B50:AX50)</f>
        <v>2831456.17</v>
      </c>
      <c r="AZ50" s="7"/>
    </row>
    <row r="51" spans="1:52" ht="12.75">
      <c r="A51" s="218" t="s">
        <v>260</v>
      </c>
      <c r="B51" s="7">
        <f>SUM(B47:B50)</f>
        <v>541019.2000000001</v>
      </c>
      <c r="C51" s="7">
        <f aca="true" t="shared" si="7" ref="C51:AW51">SUM(C47:C50)</f>
        <v>209710</v>
      </c>
      <c r="D51" s="7">
        <f t="shared" si="7"/>
        <v>115032.401</v>
      </c>
      <c r="E51" s="7">
        <f t="shared" si="7"/>
        <v>23372</v>
      </c>
      <c r="F51" s="7">
        <f t="shared" si="7"/>
        <v>1492428</v>
      </c>
      <c r="G51" s="7">
        <f t="shared" si="7"/>
        <v>35694</v>
      </c>
      <c r="H51" s="7">
        <f>SUM(H47:H50)</f>
        <v>299054</v>
      </c>
      <c r="I51" s="7">
        <f t="shared" si="7"/>
        <v>28009</v>
      </c>
      <c r="J51" s="7">
        <f t="shared" si="7"/>
        <v>14578.948000000002</v>
      </c>
      <c r="K51" s="7">
        <f t="shared" si="7"/>
        <v>171797</v>
      </c>
      <c r="L51" s="7">
        <f t="shared" si="7"/>
        <v>3245</v>
      </c>
      <c r="M51" s="7">
        <f t="shared" si="7"/>
        <v>13033</v>
      </c>
      <c r="N51" s="7">
        <f>SUM(N47:N50)</f>
        <v>11531</v>
      </c>
      <c r="O51" s="7">
        <f t="shared" si="7"/>
        <v>15807</v>
      </c>
      <c r="P51" s="7">
        <f t="shared" si="7"/>
        <v>20037</v>
      </c>
      <c r="Q51" s="7">
        <f t="shared" si="7"/>
        <v>7471</v>
      </c>
      <c r="R51" s="7">
        <f>SUM(R47:R50)</f>
        <v>15</v>
      </c>
      <c r="S51" s="7">
        <f t="shared" si="7"/>
        <v>5550</v>
      </c>
      <c r="T51" s="7">
        <f t="shared" si="7"/>
        <v>5163.624</v>
      </c>
      <c r="U51" s="7">
        <f t="shared" si="7"/>
        <v>14219</v>
      </c>
      <c r="V51" s="7">
        <f>SUM(V47:V50)</f>
        <v>14261.196000000002</v>
      </c>
      <c r="W51" s="7">
        <f>SUM(W47:W50)</f>
        <v>2794</v>
      </c>
      <c r="X51" s="7">
        <f t="shared" si="7"/>
        <v>89375</v>
      </c>
      <c r="Y51" s="7">
        <f>SUM(Y47:Y50)</f>
        <v>37941.156</v>
      </c>
      <c r="Z51" s="7">
        <f t="shared" si="7"/>
        <v>11904</v>
      </c>
      <c r="AA51" s="7">
        <f t="shared" si="7"/>
        <v>9389.515</v>
      </c>
      <c r="AB51" s="7">
        <f t="shared" si="7"/>
        <v>0</v>
      </c>
      <c r="AC51" s="7">
        <f t="shared" si="7"/>
        <v>82</v>
      </c>
      <c r="AD51" s="7">
        <f t="shared" si="7"/>
        <v>2521</v>
      </c>
      <c r="AE51" s="7">
        <f t="shared" si="7"/>
        <v>608</v>
      </c>
      <c r="AF51" s="7">
        <f t="shared" si="7"/>
        <v>0</v>
      </c>
      <c r="AG51" s="7">
        <f t="shared" si="7"/>
        <v>1087</v>
      </c>
      <c r="AH51" s="7">
        <f>SUM(AH47:AH50)</f>
        <v>11364</v>
      </c>
      <c r="AI51" s="7">
        <f t="shared" si="7"/>
        <v>3583.577</v>
      </c>
      <c r="AJ51" s="7">
        <f t="shared" si="7"/>
        <v>2541</v>
      </c>
      <c r="AK51" s="7">
        <f t="shared" si="7"/>
        <v>2275</v>
      </c>
      <c r="AL51" s="7">
        <f t="shared" si="7"/>
        <v>5724</v>
      </c>
      <c r="AM51" s="7">
        <f t="shared" si="7"/>
        <v>2049</v>
      </c>
      <c r="AN51" s="7">
        <f t="shared" si="7"/>
        <v>1237</v>
      </c>
      <c r="AO51" s="7">
        <f t="shared" si="7"/>
        <v>794.061</v>
      </c>
      <c r="AP51" s="7">
        <f t="shared" si="7"/>
        <v>1918</v>
      </c>
      <c r="AQ51" s="7">
        <f t="shared" si="7"/>
        <v>1277</v>
      </c>
      <c r="AR51" s="7">
        <f t="shared" si="7"/>
        <v>0</v>
      </c>
      <c r="AS51" s="7">
        <f t="shared" si="7"/>
        <v>3049.656</v>
      </c>
      <c r="AT51" s="7">
        <f t="shared" si="7"/>
        <v>3022</v>
      </c>
      <c r="AU51" s="7">
        <f t="shared" si="7"/>
        <v>1660</v>
      </c>
      <c r="AV51" s="7">
        <f>SUM(AV47:AV50)</f>
        <v>722</v>
      </c>
      <c r="AW51" s="7">
        <f t="shared" si="7"/>
        <v>74123</v>
      </c>
      <c r="AY51" s="7">
        <f>SUM(B51:AW51)</f>
        <v>3312068.334</v>
      </c>
      <c r="AZ51" s="7"/>
    </row>
    <row r="52" spans="1:52" ht="15" customHeight="1">
      <c r="A52" s="9"/>
      <c r="E52" s="11"/>
      <c r="F52" s="11"/>
      <c r="G52" s="11"/>
      <c r="J52" s="8"/>
      <c r="N52" s="19"/>
      <c r="Q52" s="11"/>
      <c r="R52" s="11"/>
      <c r="S52" s="11"/>
      <c r="T52" s="11"/>
      <c r="U52" s="11"/>
      <c r="V52" s="7"/>
      <c r="X52" s="11"/>
      <c r="Z52" s="11"/>
      <c r="AB52" s="11"/>
      <c r="AC52" s="19"/>
      <c r="AF52" s="11"/>
      <c r="AG52" s="11"/>
      <c r="AI52" s="11"/>
      <c r="AK52" s="11"/>
      <c r="AL52" s="11"/>
      <c r="AM52" s="11"/>
      <c r="AN52" s="11"/>
      <c r="AP52" s="11"/>
      <c r="AQ52" s="11"/>
      <c r="AR52" s="11"/>
      <c r="AS52" s="11"/>
      <c r="AT52" s="11"/>
      <c r="AU52" s="11"/>
      <c r="AY52" s="7"/>
      <c r="AZ52" s="7"/>
    </row>
    <row r="53" spans="1:52" ht="12.75">
      <c r="A53" s="9" t="s">
        <v>261</v>
      </c>
      <c r="B53" s="7">
        <f>+'4.1. Samtryggingard.'!B115+'4.1. Samtryggingard.'!C115+'5.1. Séreignard.'!B117+'5.1. Séreignard.'!C117+'5.1. Séreignard.'!D117</f>
        <v>0</v>
      </c>
      <c r="C53" s="7">
        <f>+'4.1. Samtryggingard.'!D115+'5.1. Séreignard.'!E117</f>
        <v>0</v>
      </c>
      <c r="D53" s="7">
        <f>+'4.1. Samtryggingard.'!E115+'5.1. Séreignard.'!F117+'5.1. Séreignard.'!G117</f>
        <v>0</v>
      </c>
      <c r="E53" s="7">
        <f>+'4.1. Samtryggingard.'!F115+'5.1. Séreignard.'!H117+'5.1. Séreignard.'!I117+'5.1. Séreignard.'!J117</f>
        <v>5788</v>
      </c>
      <c r="F53" s="7">
        <f>+'4.1. Samtryggingard.'!G115+'4.1. Samtryggingard.'!H115+'5.1. Séreignard.'!K117+'5.1. Séreignard.'!L117</f>
        <v>12499</v>
      </c>
      <c r="G53" s="7">
        <f>+'4.1. Samtryggingard.'!I115+'5.1. Séreignard.'!M117+'5.1. Séreignard.'!N117</f>
        <v>0</v>
      </c>
      <c r="H53" s="8">
        <f>+'4.1. Samtryggingard.'!J115+'5.1. Séreignard.'!O117+'5.1. Séreignard.'!P117+'5.1. Séreignard.'!Q117</f>
        <v>0</v>
      </c>
      <c r="I53" s="7">
        <f>+'4.1. Samtryggingard.'!K115+'5.1. Séreignard.'!R117</f>
        <v>0</v>
      </c>
      <c r="J53" s="8">
        <f>+'4.1. Samtryggingard.'!L115+'5.1. Séreignard.'!S117+'5.1. Séreignard.'!T117+'5.1. Séreignard.'!U117+'5.1. Séreignard.'!V117</f>
        <v>0</v>
      </c>
      <c r="K53" s="7">
        <f>+'4.1. Samtryggingard.'!M115+'5.1. Séreignard.'!W117+'5.1. Séreignard.'!X117</f>
        <v>0</v>
      </c>
      <c r="L53" s="7">
        <f>+'4.1. Samtryggingard.'!N115+'4.1. Samtryggingard.'!O115</f>
        <v>0</v>
      </c>
      <c r="M53" s="7">
        <f>+'4.1. Samtryggingard.'!P115+'4.1. Samtryggingard.'!Q115+'5.1. Séreignard.'!Y117</f>
        <v>0</v>
      </c>
      <c r="N53" s="7">
        <f>+'4.1. Samtryggingard.'!R115</f>
        <v>0</v>
      </c>
      <c r="O53" s="7">
        <f>+'4.1. Samtryggingard.'!S115+'5.1. Séreignard.'!Z117</f>
        <v>0</v>
      </c>
      <c r="P53" s="7">
        <f>+'4.1. Samtryggingard.'!T115+'5.1. Séreignard.'!AA117</f>
        <v>0</v>
      </c>
      <c r="Q53" s="7">
        <f>+'4.1. Samtryggingard.'!U115+'5.1. Séreignard.'!AB117</f>
        <v>0</v>
      </c>
      <c r="R53" s="7">
        <f>+'4.1. Samtryggingard.'!V115</f>
        <v>0</v>
      </c>
      <c r="S53" s="7">
        <f>+'4.1. Samtryggingard.'!W115</f>
        <v>0</v>
      </c>
      <c r="T53" s="7">
        <f>+'4.1. Samtryggingard.'!X115+'5.1. Séreignard.'!AC117+'5.1. Séreignard.'!AD117</f>
        <v>0</v>
      </c>
      <c r="U53" s="7">
        <f>+'4.1. Samtryggingard.'!Y115</f>
        <v>0</v>
      </c>
      <c r="V53" s="7">
        <f>+'4.1. Samtryggingard.'!Z115+'4.1. Samtryggingard.'!AA115+'5.1. Séreignard.'!AE117+'5.1. Séreignard.'!AF117+'5.1. Séreignard.'!AG117</f>
        <v>0</v>
      </c>
      <c r="W53" s="7">
        <f>+'4.1. Samtryggingard.'!AB115+'5.1. Séreignard.'!AH117</f>
        <v>0</v>
      </c>
      <c r="X53" s="7">
        <f>+'4.1. Samtryggingard.'!AC115</f>
        <v>0</v>
      </c>
      <c r="Y53" s="7">
        <f>+'4.1. Samtryggingard.'!AD115+'5.1. Séreignard.'!AI117+'5.1. Séreignard.'!AJ117+'5.1. Séreignard.'!AK117+'5.1. Séreignard.'!AL117</f>
        <v>7589.892</v>
      </c>
      <c r="Z53" s="7">
        <f>+'4.1. Samtryggingard.'!AE115</f>
        <v>10145</v>
      </c>
      <c r="AA53" s="7">
        <f>+'4.1. Samtryggingard.'!AF115</f>
        <v>0</v>
      </c>
      <c r="AB53" s="7">
        <f>+'4.1. Samtryggingard.'!AG115</f>
        <v>0</v>
      </c>
      <c r="AC53" s="7">
        <f>+'4.1. Samtryggingard.'!AH115</f>
        <v>0</v>
      </c>
      <c r="AD53" s="19">
        <f>+'4.1. Samtryggingard.'!AI115+'4.1. Samtryggingard.'!AJ115</f>
        <v>0</v>
      </c>
      <c r="AE53" s="19">
        <f>+'4.1. Samtryggingard.'!AK115+'5.1. Séreignard.'!AM117</f>
        <v>0</v>
      </c>
      <c r="AF53" s="19">
        <f>+'4.1. Samtryggingard.'!AL115</f>
        <v>0</v>
      </c>
      <c r="AG53" s="7">
        <f>+'4.1. Samtryggingard.'!AM115</f>
        <v>1029</v>
      </c>
      <c r="AH53" s="7">
        <f>+'4.1. Samtryggingard.'!AN115+'5.1. Séreignard.'!AN117</f>
        <v>0</v>
      </c>
      <c r="AI53" s="19">
        <f>+'4.1. Samtryggingard.'!AO115</f>
        <v>0</v>
      </c>
      <c r="AJ53" s="7">
        <f>+'4.1. Samtryggingard.'!AP115</f>
        <v>354</v>
      </c>
      <c r="AK53" s="7">
        <f>+'4.1. Samtryggingard.'!AQ115</f>
        <v>0</v>
      </c>
      <c r="AL53" s="7">
        <f>+'4.1. Samtryggingard.'!AR115</f>
        <v>0</v>
      </c>
      <c r="AM53" s="7">
        <f>+'4.1. Samtryggingard.'!AS115</f>
        <v>0</v>
      </c>
      <c r="AN53" s="7">
        <f>+'4.1. Samtryggingard.'!AT115</f>
        <v>0</v>
      </c>
      <c r="AO53" s="7">
        <f>+'4.1. Samtryggingard.'!AU115</f>
        <v>0</v>
      </c>
      <c r="AP53" s="7">
        <f>+'4.1. Samtryggingard.'!AV115</f>
        <v>0</v>
      </c>
      <c r="AQ53" s="7">
        <f>+'4.1. Samtryggingard.'!AW115</f>
        <v>6897</v>
      </c>
      <c r="AR53" s="7">
        <f>+'4.1. Samtryggingard.'!AX115</f>
        <v>0</v>
      </c>
      <c r="AS53" s="7">
        <f>+'4.1. Samtryggingard.'!AY115</f>
        <v>0</v>
      </c>
      <c r="AT53" s="7">
        <f>+'4.1. Samtryggingard.'!AZ115</f>
        <v>0</v>
      </c>
      <c r="AU53" s="7">
        <f>+'4.1. Samtryggingard.'!BA115</f>
        <v>0</v>
      </c>
      <c r="AV53" s="7">
        <f>+'4.1. Samtryggingard.'!BB115</f>
        <v>0</v>
      </c>
      <c r="AW53" s="7">
        <f>+'4.1. Samtryggingard.'!BC115</f>
        <v>0</v>
      </c>
      <c r="AX53" s="232"/>
      <c r="AY53" s="7">
        <f>SUM(B53:AX53)</f>
        <v>44301.892</v>
      </c>
      <c r="AZ53" s="7"/>
    </row>
    <row r="54" spans="1:52" ht="6" customHeight="1">
      <c r="A54" s="14"/>
      <c r="E54" s="11"/>
      <c r="F54" s="11"/>
      <c r="G54" s="11"/>
      <c r="J54" s="8"/>
      <c r="N54" s="19"/>
      <c r="Q54" s="11"/>
      <c r="R54" s="11"/>
      <c r="S54" s="11"/>
      <c r="T54" s="11"/>
      <c r="U54" s="11"/>
      <c r="V54" s="7"/>
      <c r="X54" s="11"/>
      <c r="Z54" s="11"/>
      <c r="AB54" s="11"/>
      <c r="AC54" s="19"/>
      <c r="AF54" s="11"/>
      <c r="AG54" s="11"/>
      <c r="AI54" s="11"/>
      <c r="AK54" s="11"/>
      <c r="AL54" s="11"/>
      <c r="AM54" s="11"/>
      <c r="AN54" s="11"/>
      <c r="AP54" s="11"/>
      <c r="AQ54" s="11"/>
      <c r="AR54" s="11"/>
      <c r="AS54" s="11"/>
      <c r="AT54" s="11"/>
      <c r="AU54" s="11"/>
      <c r="AY54" s="7"/>
      <c r="AZ54" s="7"/>
    </row>
    <row r="55" spans="1:52" ht="15.75" customHeight="1">
      <c r="A55" s="219" t="s">
        <v>374</v>
      </c>
      <c r="B55" s="7">
        <f>+B44+B51+B53</f>
        <v>585007.2000000001</v>
      </c>
      <c r="C55" s="7">
        <f aca="true" t="shared" si="8" ref="C55:AW55">+C44+C51+C53</f>
        <v>209710</v>
      </c>
      <c r="D55" s="7">
        <f t="shared" si="8"/>
        <v>115032.401</v>
      </c>
      <c r="E55" s="7">
        <f t="shared" si="8"/>
        <v>29160</v>
      </c>
      <c r="F55" s="7">
        <f t="shared" si="8"/>
        <v>1504927</v>
      </c>
      <c r="G55" s="7">
        <f t="shared" si="8"/>
        <v>35694</v>
      </c>
      <c r="H55" s="7">
        <f>+H44+H51+H53</f>
        <v>299054</v>
      </c>
      <c r="I55" s="7">
        <f t="shared" si="8"/>
        <v>28009</v>
      </c>
      <c r="J55" s="7">
        <f t="shared" si="8"/>
        <v>14578.948000000002</v>
      </c>
      <c r="K55" s="7">
        <f t="shared" si="8"/>
        <v>171797</v>
      </c>
      <c r="L55" s="7">
        <f t="shared" si="8"/>
        <v>3245</v>
      </c>
      <c r="M55" s="7">
        <f t="shared" si="8"/>
        <v>13033</v>
      </c>
      <c r="N55" s="7">
        <f>+N44+N51+N53</f>
        <v>11531</v>
      </c>
      <c r="O55" s="7">
        <f t="shared" si="8"/>
        <v>15807</v>
      </c>
      <c r="P55" s="7">
        <f t="shared" si="8"/>
        <v>20037</v>
      </c>
      <c r="Q55" s="7">
        <f t="shared" si="8"/>
        <v>7471</v>
      </c>
      <c r="R55" s="7">
        <f>+R44+R51+R53</f>
        <v>4015</v>
      </c>
      <c r="S55" s="7">
        <f t="shared" si="8"/>
        <v>5550</v>
      </c>
      <c r="T55" s="7">
        <f t="shared" si="8"/>
        <v>5163.624</v>
      </c>
      <c r="U55" s="7">
        <f t="shared" si="8"/>
        <v>14219</v>
      </c>
      <c r="V55" s="7">
        <f>+V44+V51+V53</f>
        <v>14261.196000000002</v>
      </c>
      <c r="W55" s="7">
        <f>+W44+W51+W53</f>
        <v>2794</v>
      </c>
      <c r="X55" s="7">
        <f t="shared" si="8"/>
        <v>89375</v>
      </c>
      <c r="Y55" s="7">
        <f>+Y44+Y51+Y53</f>
        <v>45531.048</v>
      </c>
      <c r="Z55" s="7">
        <f t="shared" si="8"/>
        <v>22049</v>
      </c>
      <c r="AA55" s="7">
        <f t="shared" si="8"/>
        <v>9389.515</v>
      </c>
      <c r="AB55" s="7">
        <f t="shared" si="8"/>
        <v>0</v>
      </c>
      <c r="AC55" s="7">
        <f t="shared" si="8"/>
        <v>82</v>
      </c>
      <c r="AD55" s="7">
        <f t="shared" si="8"/>
        <v>2521</v>
      </c>
      <c r="AE55" s="7">
        <f t="shared" si="8"/>
        <v>608</v>
      </c>
      <c r="AF55" s="7">
        <f t="shared" si="8"/>
        <v>0</v>
      </c>
      <c r="AG55" s="7">
        <f t="shared" si="8"/>
        <v>2116</v>
      </c>
      <c r="AH55" s="7">
        <f>+AH44+AH51+AH53</f>
        <v>11364</v>
      </c>
      <c r="AI55" s="7">
        <f t="shared" si="8"/>
        <v>3583.577</v>
      </c>
      <c r="AJ55" s="7">
        <f t="shared" si="8"/>
        <v>2895</v>
      </c>
      <c r="AK55" s="7">
        <f t="shared" si="8"/>
        <v>2275</v>
      </c>
      <c r="AL55" s="7">
        <f t="shared" si="8"/>
        <v>5724</v>
      </c>
      <c r="AM55" s="7">
        <f t="shared" si="8"/>
        <v>2049</v>
      </c>
      <c r="AN55" s="7">
        <f t="shared" si="8"/>
        <v>1237</v>
      </c>
      <c r="AO55" s="7">
        <f t="shared" si="8"/>
        <v>794.061</v>
      </c>
      <c r="AP55" s="7">
        <f t="shared" si="8"/>
        <v>1918</v>
      </c>
      <c r="AQ55" s="7">
        <f t="shared" si="8"/>
        <v>8174</v>
      </c>
      <c r="AR55" s="7">
        <f t="shared" si="8"/>
        <v>0</v>
      </c>
      <c r="AS55" s="7">
        <f t="shared" si="8"/>
        <v>3049.656</v>
      </c>
      <c r="AT55" s="7">
        <f t="shared" si="8"/>
        <v>3022</v>
      </c>
      <c r="AU55" s="7">
        <f t="shared" si="8"/>
        <v>1660</v>
      </c>
      <c r="AV55" s="7">
        <f>+AV44+AV51+AV53</f>
        <v>722</v>
      </c>
      <c r="AW55" s="7">
        <f t="shared" si="8"/>
        <v>74123</v>
      </c>
      <c r="AY55" s="7">
        <f>SUM(B55:AW55)</f>
        <v>3404358.226</v>
      </c>
      <c r="AZ55" s="7"/>
    </row>
    <row r="56" spans="1:52" ht="13.5" customHeight="1">
      <c r="A56" s="9" t="s">
        <v>262</v>
      </c>
      <c r="D56" s="18">
        <v>0</v>
      </c>
      <c r="E56" s="11"/>
      <c r="F56" s="11"/>
      <c r="G56" s="11"/>
      <c r="N56" s="19"/>
      <c r="Q56" s="11"/>
      <c r="R56" s="11"/>
      <c r="S56" s="11"/>
      <c r="T56" s="11"/>
      <c r="U56" s="11"/>
      <c r="X56" s="11"/>
      <c r="Z56" s="11"/>
      <c r="AB56" s="11"/>
      <c r="AC56" s="19"/>
      <c r="AF56" s="11"/>
      <c r="AG56" s="11"/>
      <c r="AI56" s="11"/>
      <c r="AK56" s="11"/>
      <c r="AL56" s="11"/>
      <c r="AM56" s="11"/>
      <c r="AN56" s="11"/>
      <c r="AP56" s="11"/>
      <c r="AQ56" s="11"/>
      <c r="AR56" s="11"/>
      <c r="AS56" s="11"/>
      <c r="AT56" s="11"/>
      <c r="AU56" s="11"/>
      <c r="AY56" s="7"/>
      <c r="AZ56" s="7"/>
    </row>
    <row r="57" spans="1:51" ht="12.75">
      <c r="A57" s="9" t="s">
        <v>263</v>
      </c>
      <c r="B57" s="7">
        <f>+B40-B55</f>
        <v>179861123.10000002</v>
      </c>
      <c r="C57" s="7">
        <f>+C40-C55</f>
        <v>150701842</v>
      </c>
      <c r="D57" s="7">
        <f aca="true" t="shared" si="9" ref="D57:AW57">+D40-D55</f>
        <v>77326397.543</v>
      </c>
      <c r="E57" s="7">
        <f t="shared" si="9"/>
        <v>68451595</v>
      </c>
      <c r="F57" s="7">
        <f t="shared" si="9"/>
        <v>59778385</v>
      </c>
      <c r="G57" s="7">
        <f t="shared" si="9"/>
        <v>39167662.35500001</v>
      </c>
      <c r="H57" s="7">
        <f>+H40-H55</f>
        <v>35658115.8</v>
      </c>
      <c r="I57" s="7">
        <f t="shared" si="9"/>
        <v>33790004</v>
      </c>
      <c r="J57" s="7">
        <f t="shared" si="9"/>
        <v>33106690.901657876</v>
      </c>
      <c r="K57" s="7">
        <f t="shared" si="9"/>
        <v>27249424</v>
      </c>
      <c r="L57" s="7">
        <f t="shared" si="9"/>
        <v>25567811</v>
      </c>
      <c r="M57" s="7">
        <f t="shared" si="9"/>
        <v>24282104</v>
      </c>
      <c r="N57" s="7">
        <f>+N40-N55</f>
        <v>18624666</v>
      </c>
      <c r="O57" s="7">
        <f t="shared" si="9"/>
        <v>18355920</v>
      </c>
      <c r="P57" s="7">
        <f t="shared" si="9"/>
        <v>17850447.016</v>
      </c>
      <c r="Q57" s="7">
        <f t="shared" si="9"/>
        <v>17595850</v>
      </c>
      <c r="R57" s="7">
        <f>+R40-R55</f>
        <v>15519891</v>
      </c>
      <c r="S57" s="7">
        <f t="shared" si="9"/>
        <v>15433319</v>
      </c>
      <c r="T57" s="7">
        <f t="shared" si="9"/>
        <v>15062065.376</v>
      </c>
      <c r="U57" s="7">
        <f t="shared" si="9"/>
        <v>13894193.608</v>
      </c>
      <c r="V57" s="7">
        <f>+V40-V55</f>
        <v>12382185.011999998</v>
      </c>
      <c r="W57" s="7">
        <f>+W40-W55</f>
        <v>11295059</v>
      </c>
      <c r="X57" s="7">
        <f t="shared" si="9"/>
        <v>10959237.447999999</v>
      </c>
      <c r="Y57" s="7">
        <f>+Y40-Y55</f>
        <v>10352122.675999999</v>
      </c>
      <c r="Z57" s="7">
        <f t="shared" si="9"/>
        <v>10193237</v>
      </c>
      <c r="AA57" s="7">
        <f t="shared" si="9"/>
        <v>9071163.296000002</v>
      </c>
      <c r="AB57" s="7">
        <f t="shared" si="9"/>
        <v>7326024</v>
      </c>
      <c r="AC57" s="7">
        <f t="shared" si="9"/>
        <v>4096092.716</v>
      </c>
      <c r="AD57" s="7">
        <f t="shared" si="9"/>
        <v>3119405</v>
      </c>
      <c r="AE57" s="7">
        <f t="shared" si="9"/>
        <v>2973577</v>
      </c>
      <c r="AF57" s="7">
        <f t="shared" si="9"/>
        <v>2542380</v>
      </c>
      <c r="AG57" s="7">
        <f t="shared" si="9"/>
        <v>2418684</v>
      </c>
      <c r="AH57" s="7">
        <f>+AH40-AH55</f>
        <v>1842771</v>
      </c>
      <c r="AI57" s="7">
        <f t="shared" si="9"/>
        <v>1747772.961</v>
      </c>
      <c r="AJ57" s="7">
        <f t="shared" si="9"/>
        <v>1625460</v>
      </c>
      <c r="AK57" s="7">
        <f t="shared" si="9"/>
        <v>1480328</v>
      </c>
      <c r="AL57" s="7">
        <f t="shared" si="9"/>
        <v>1306001</v>
      </c>
      <c r="AM57" s="7">
        <f t="shared" si="9"/>
        <v>946454</v>
      </c>
      <c r="AN57" s="7">
        <f t="shared" si="9"/>
        <v>702482</v>
      </c>
      <c r="AO57" s="7">
        <f t="shared" si="9"/>
        <v>613987.657</v>
      </c>
      <c r="AP57" s="7">
        <f t="shared" si="9"/>
        <v>608528</v>
      </c>
      <c r="AQ57" s="7">
        <f t="shared" si="9"/>
        <v>505608</v>
      </c>
      <c r="AR57" s="7">
        <f t="shared" si="9"/>
        <v>458796</v>
      </c>
      <c r="AS57" s="7">
        <f t="shared" si="9"/>
        <v>399523.5899999999</v>
      </c>
      <c r="AT57" s="7">
        <f t="shared" si="9"/>
        <v>210244</v>
      </c>
      <c r="AU57" s="7">
        <f t="shared" si="9"/>
        <v>88536</v>
      </c>
      <c r="AV57" s="7">
        <f>+AV40-AV55</f>
        <v>7967</v>
      </c>
      <c r="AW57" s="7">
        <f t="shared" si="9"/>
        <v>-16387</v>
      </c>
      <c r="AY57" s="7">
        <f>SUM(B57:AW57)</f>
        <v>986534746.0556577</v>
      </c>
    </row>
    <row r="58" spans="7:51" ht="12" customHeight="1">
      <c r="G58" s="7"/>
      <c r="AY58" s="7"/>
    </row>
    <row r="59" ht="12.75">
      <c r="AX59" s="18"/>
    </row>
    <row r="60" spans="1:50" s="275" customFormat="1" ht="12.75" hidden="1">
      <c r="A60" s="275" t="s">
        <v>464</v>
      </c>
      <c r="B60" s="275">
        <f>+B57-'4.1. Samtryggingard.'!B119-'4.1. Samtryggingard.'!C119-'5.1. Séreignard.'!B121-'5.1. Séreignard.'!C121-'5.1. Séreignard.'!D121</f>
        <v>2.0838342607021332E-08</v>
      </c>
      <c r="C60" s="275">
        <f>+C57-'4.1. Samtryggingard.'!D119-'5.1. Séreignard.'!E121</f>
        <v>0</v>
      </c>
      <c r="D60" s="275">
        <f>+D57-'4.1. Samtryggingard.'!E119-'5.1. Séreignard.'!F121-'5.1. Séreignard.'!G121</f>
        <v>0</v>
      </c>
      <c r="E60" s="275">
        <f>+E57-'4.1. Samtryggingard.'!F119-'5.1. Séreignard.'!H121-'5.1. Séreignard.'!I121-'5.1. Séreignard.'!J121</f>
        <v>0</v>
      </c>
      <c r="F60" s="275">
        <f>+F57-'4.1. Samtryggingard.'!G119-'4.1. Samtryggingard.'!H119-'5.1. Séreignard.'!K121-'5.1. Séreignard.'!L121</f>
        <v>0</v>
      </c>
      <c r="G60" s="275">
        <f>+G57-'4.1. Samtryggingard.'!I119-'5.1. Séreignard.'!M121-'5.1. Séreignard.'!N121</f>
        <v>0</v>
      </c>
      <c r="H60" s="275">
        <f>+H57-'4.1. Samtryggingard.'!J119-'5.1. Séreignard.'!O121-'5.1. Séreignard.'!P121-'5.1. Séreignard.'!Q121</f>
        <v>-3.725290298461914E-09</v>
      </c>
      <c r="I60" s="275">
        <f>+I57-'4.1. Samtryggingard.'!K119-'5.1. Séreignard.'!R121</f>
        <v>0</v>
      </c>
      <c r="J60" s="275">
        <f>+J57-'4.1. Samtryggingard.'!L119-'5.1. Séreignard.'!S121-'5.1. Séreignard.'!T121-'5.1. Séreignard.'!U121-'5.1. Séreignard.'!V121</f>
        <v>4.190951585769653E-09</v>
      </c>
      <c r="K60" s="275">
        <f>+K57-'4.1. Samtryggingard.'!M119-'5.1. Séreignard.'!W121-'5.1. Séreignard.'!X121</f>
        <v>0</v>
      </c>
      <c r="L60" s="275">
        <f>+L57-'4.1. Samtryggingard.'!N119-'4.1. Samtryggingard.'!O119</f>
        <v>0</v>
      </c>
      <c r="M60" s="275">
        <f>+M57-'4.1. Samtryggingard.'!P119-'4.1. Samtryggingard.'!Q119-'5.1. Séreignard.'!Y121</f>
        <v>0</v>
      </c>
      <c r="N60" s="275">
        <f>+N57-'4.1. Samtryggingard.'!R119</f>
        <v>0</v>
      </c>
      <c r="O60" s="275">
        <f>+O57-'4.1. Samtryggingard.'!S119-'5.1. Séreignard.'!Z121</f>
        <v>0</v>
      </c>
      <c r="P60" s="275">
        <f>+P57-'4.1. Samtryggingard.'!T119-'5.1. Séreignard.'!AA121</f>
        <v>-1.1059455573558807E-09</v>
      </c>
      <c r="Q60" s="275">
        <f>+Q57-'4.1. Samtryggingard.'!U119-'5.1. Séreignard.'!AB121</f>
        <v>0</v>
      </c>
      <c r="R60" s="275">
        <f>+R57-'4.1. Samtryggingard.'!V119</f>
        <v>0</v>
      </c>
      <c r="S60" s="275">
        <f>+S57-'4.1. Samtryggingard.'!W119</f>
        <v>0</v>
      </c>
      <c r="T60" s="275">
        <f>+T57-'4.1. Samtryggingard.'!X119-'5.1. Séreignard.'!AC121-'5.1. Séreignard.'!AD121</f>
        <v>0</v>
      </c>
      <c r="U60" s="275">
        <f>+U57-'4.1. Samtryggingard.'!Y119</f>
        <v>0</v>
      </c>
      <c r="V60" s="275">
        <f>+V57-'4.1. Samtryggingard.'!Z119-'4.1. Samtryggingard.'!AA119-'5.1. Séreignard.'!AE121-'5.1. Séreignard.'!AF121-'5.1. Séreignard.'!AG121</f>
        <v>-1.8553691916167736E-10</v>
      </c>
      <c r="W60" s="275">
        <f>+W57-'4.1. Samtryggingard.'!AB119-'5.1. Séreignard.'!AH121</f>
        <v>0</v>
      </c>
      <c r="X60" s="275">
        <f>+X57-'4.1. Samtryggingard.'!AC119</f>
        <v>0</v>
      </c>
      <c r="Y60" s="275">
        <f>+Y57-'4.1. Samtryggingard.'!AD119-'5.1. Séreignard.'!AI121-'5.1. Séreignard.'!AJ121-'5.1. Séreignard.'!AK121-'5.1. Séreignard.'!AL121</f>
        <v>-8.731149137020111E-10</v>
      </c>
      <c r="Z60" s="275">
        <f>+Z57-'4.1. Samtryggingard.'!AE119</f>
        <v>0</v>
      </c>
      <c r="AA60" s="275">
        <f>+AA57-'4.1. Samtryggingard.'!AF119</f>
        <v>0</v>
      </c>
      <c r="AB60" s="275">
        <f>+AB57-'4.1. Samtryggingard.'!AG119</f>
        <v>0</v>
      </c>
      <c r="AC60" s="275">
        <f>+AC57-'4.1. Samtryggingard.'!AH119</f>
        <v>0</v>
      </c>
      <c r="AD60" s="275">
        <f>+AD57-'4.1. Samtryggingard.'!AI119-'4.1. Samtryggingard.'!AJ119</f>
        <v>0</v>
      </c>
      <c r="AE60" s="275">
        <f>+AE57-'4.1. Samtryggingard.'!AK119-'5.1. Séreignard.'!AM121</f>
        <v>0</v>
      </c>
      <c r="AF60" s="275">
        <f>+AF57-'4.1. Samtryggingard.'!AL119</f>
        <v>0</v>
      </c>
      <c r="AG60" s="275">
        <f>+AG57-'4.1. Samtryggingard.'!AM119</f>
        <v>0</v>
      </c>
      <c r="AH60" s="275">
        <f>+AH57-'4.1. Samtryggingard.'!AN119-'5.1. Séreignard.'!AN121</f>
        <v>0</v>
      </c>
      <c r="AI60" s="275">
        <f>+AI57-'4.1. Samtryggingard.'!AO119</f>
        <v>0</v>
      </c>
      <c r="AJ60" s="275">
        <f>+AJ57-'4.1. Samtryggingard.'!AP119</f>
        <v>0</v>
      </c>
      <c r="AK60" s="275">
        <f>+AK57-'4.1. Samtryggingard.'!AQ119</f>
        <v>0</v>
      </c>
      <c r="AL60" s="275">
        <f>+AL57-'4.1. Samtryggingard.'!AR119</f>
        <v>0</v>
      </c>
      <c r="AM60" s="275">
        <f>+AM57-'4.1. Samtryggingard.'!AS119</f>
        <v>0</v>
      </c>
      <c r="AN60" s="275">
        <f>+AN57-'4.1. Samtryggingard.'!AT119</f>
        <v>0</v>
      </c>
      <c r="AO60" s="275">
        <f>+AO57-'4.1. Samtryggingard.'!AU119</f>
        <v>0</v>
      </c>
      <c r="AP60" s="275">
        <f>+AP57-'4.1. Samtryggingard.'!AV119</f>
        <v>0</v>
      </c>
      <c r="AQ60" s="275">
        <f>+AQ57-'4.1. Samtryggingard.'!AW119</f>
        <v>0</v>
      </c>
      <c r="AR60" s="275">
        <f>+AR57-'4.1. Samtryggingard.'!AX119</f>
        <v>0</v>
      </c>
      <c r="AS60" s="275">
        <f>+AS57-'4.1. Samtryggingard.'!AY119</f>
        <v>0</v>
      </c>
      <c r="AT60" s="275">
        <f>+AT57-'4.1. Samtryggingard.'!AZ119</f>
        <v>0</v>
      </c>
      <c r="AU60" s="275">
        <f>+AU57-'4.1. Samtryggingard.'!BA119</f>
        <v>0</v>
      </c>
      <c r="AV60" s="275">
        <f>+AV57-'4.1. Samtryggingard.'!BB119</f>
        <v>0</v>
      </c>
      <c r="AW60" s="275">
        <f>+AW57-'4.1. Samtryggingard.'!BC119</f>
        <v>0</v>
      </c>
      <c r="AX60" s="276"/>
    </row>
    <row r="61" spans="2:76" ht="12.7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</row>
  </sheetData>
  <sheetProtection/>
  <printOptions/>
  <pageMargins left="0.3937007874015748" right="0.1968503937007874" top="0.984251968503937" bottom="0.4724409448818898" header="0.3937007874015748" footer="0.31496062992125984"/>
  <pageSetup firstPageNumber="18" useFirstPageNumber="1" horizontalDpi="600" verticalDpi="600" orientation="portrait" paperSize="9" r:id="rId1"/>
  <headerFooter alignWithMargins="0">
    <oddHeader>&amp;C&amp;"Times New Roman,Bold"&amp;14 3.2. EFNAHAGSREIKNINGAR 31.12.2004</oddHeader>
    <oddFooter>&amp;R&amp;"Times New Roman,Regular"&amp;P</oddFooter>
  </headerFooter>
  <colBreaks count="2" manualBreakCount="2">
    <brk id="15" max="59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7"/>
  <sheetViews>
    <sheetView zoomScaleSheetLayoutView="100" zoomScalePageLayoutView="0" workbookViewId="0" topLeftCell="A1">
      <pane xSplit="1" ySplit="4" topLeftCell="B5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1" sqref="A1"/>
    </sheetView>
  </sheetViews>
  <sheetFormatPr defaultColWidth="9.140625" defaultRowHeight="12.75"/>
  <cols>
    <col min="1" max="1" width="28.00390625" style="18" customWidth="1"/>
    <col min="2" max="3" width="9.8515625" style="18" customWidth="1"/>
    <col min="4" max="4" width="9.8515625" style="66" customWidth="1"/>
    <col min="5" max="7" width="9.8515625" style="18" customWidth="1"/>
    <col min="8" max="8" width="9.7109375" style="18" customWidth="1"/>
    <col min="9" max="10" width="9.8515625" style="18" customWidth="1"/>
    <col min="11" max="11" width="9.140625" style="18" bestFit="1" customWidth="1"/>
    <col min="12" max="16" width="9.7109375" style="18" customWidth="1"/>
    <col min="17" max="20" width="9.8515625" style="18" customWidth="1"/>
    <col min="21" max="21" width="9.140625" style="18" bestFit="1" customWidth="1"/>
    <col min="22" max="22" width="9.57421875" style="18" customWidth="1"/>
    <col min="23" max="23" width="9.8515625" style="18" customWidth="1"/>
    <col min="24" max="24" width="10.00390625" style="18" customWidth="1"/>
    <col min="25" max="28" width="9.57421875" style="18" customWidth="1"/>
    <col min="29" max="33" width="10.00390625" style="18" customWidth="1"/>
    <col min="34" max="34" width="10.28125" style="18" customWidth="1"/>
    <col min="35" max="35" width="10.00390625" style="18" customWidth="1"/>
    <col min="36" max="38" width="10.28125" style="18" customWidth="1"/>
    <col min="39" max="39" width="10.00390625" style="18" customWidth="1"/>
    <col min="40" max="40" width="9.140625" style="18" bestFit="1" customWidth="1"/>
    <col min="41" max="41" width="10.7109375" style="18" bestFit="1" customWidth="1"/>
    <col min="42" max="43" width="10.28125" style="18" customWidth="1"/>
    <col min="44" max="44" width="8.7109375" style="18" customWidth="1"/>
    <col min="45" max="45" width="10.00390625" style="18" customWidth="1"/>
    <col min="46" max="46" width="10.421875" style="18" customWidth="1"/>
    <col min="47" max="47" width="10.140625" style="18" customWidth="1"/>
    <col min="48" max="48" width="9.140625" style="18" customWidth="1"/>
    <col min="49" max="49" width="9.8515625" style="18" customWidth="1"/>
    <col min="50" max="50" width="2.7109375" style="18" customWidth="1"/>
    <col min="51" max="51" width="10.8515625" style="18" customWidth="1"/>
    <col min="52" max="52" width="11.140625" style="18" customWidth="1"/>
    <col min="53" max="53" width="12.57421875" style="18" customWidth="1"/>
    <col min="54" max="54" width="3.28125" style="18" customWidth="1"/>
    <col min="55" max="16384" width="9.140625" style="18" customWidth="1"/>
  </cols>
  <sheetData>
    <row r="1" spans="1:51" ht="12.75" customHeight="1">
      <c r="A1" s="7"/>
      <c r="B1" s="55" t="s">
        <v>69</v>
      </c>
      <c r="C1" s="55" t="s">
        <v>69</v>
      </c>
      <c r="D1" s="55" t="s">
        <v>69</v>
      </c>
      <c r="E1" s="55" t="s">
        <v>69</v>
      </c>
      <c r="F1" s="55" t="s">
        <v>70</v>
      </c>
      <c r="G1" s="55" t="s">
        <v>69</v>
      </c>
      <c r="H1" s="55" t="s">
        <v>73</v>
      </c>
      <c r="I1" s="55" t="s">
        <v>71</v>
      </c>
      <c r="J1" s="55" t="s">
        <v>481</v>
      </c>
      <c r="K1" s="55" t="s">
        <v>69</v>
      </c>
      <c r="L1" s="55" t="s">
        <v>69</v>
      </c>
      <c r="M1" s="55" t="s">
        <v>72</v>
      </c>
      <c r="N1" s="55" t="s">
        <v>69</v>
      </c>
      <c r="O1" s="55" t="s">
        <v>69</v>
      </c>
      <c r="P1" s="55" t="s">
        <v>69</v>
      </c>
      <c r="Q1" s="55" t="s">
        <v>69</v>
      </c>
      <c r="R1" s="55" t="s">
        <v>69</v>
      </c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76</v>
      </c>
      <c r="Z1" s="55" t="s">
        <v>74</v>
      </c>
      <c r="AA1" s="55" t="s">
        <v>69</v>
      </c>
      <c r="AB1" s="55" t="s">
        <v>69</v>
      </c>
      <c r="AC1" s="55" t="s">
        <v>77</v>
      </c>
      <c r="AD1" s="55" t="s">
        <v>69</v>
      </c>
      <c r="AE1" s="55" t="s">
        <v>69</v>
      </c>
      <c r="AF1" s="55" t="s">
        <v>69</v>
      </c>
      <c r="AG1" s="55" t="s">
        <v>69</v>
      </c>
      <c r="AH1" s="55" t="s">
        <v>69</v>
      </c>
      <c r="AI1" s="55" t="s">
        <v>69</v>
      </c>
      <c r="AJ1" s="55" t="s">
        <v>77</v>
      </c>
      <c r="AK1" s="55" t="s">
        <v>69</v>
      </c>
      <c r="AL1" s="55" t="s">
        <v>69</v>
      </c>
      <c r="AM1" s="55" t="s">
        <v>69</v>
      </c>
      <c r="AN1" s="55" t="s">
        <v>77</v>
      </c>
      <c r="AO1" s="55" t="s">
        <v>77</v>
      </c>
      <c r="AP1" s="55" t="s">
        <v>77</v>
      </c>
      <c r="AQ1" s="55" t="s">
        <v>69</v>
      </c>
      <c r="AR1" s="55" t="s">
        <v>75</v>
      </c>
      <c r="AS1" s="55" t="s">
        <v>69</v>
      </c>
      <c r="AT1" s="55" t="s">
        <v>69</v>
      </c>
      <c r="AU1" s="55" t="s">
        <v>77</v>
      </c>
      <c r="AV1" s="55" t="s">
        <v>69</v>
      </c>
      <c r="AW1" s="55" t="s">
        <v>69</v>
      </c>
      <c r="AY1" s="55" t="s">
        <v>79</v>
      </c>
    </row>
    <row r="2" spans="1:51" ht="12.75">
      <c r="A2" s="10" t="s">
        <v>62</v>
      </c>
      <c r="B2" s="55" t="s">
        <v>81</v>
      </c>
      <c r="C2" s="55" t="s">
        <v>80</v>
      </c>
      <c r="D2" s="55" t="s">
        <v>82</v>
      </c>
      <c r="E2" s="55" t="s">
        <v>84</v>
      </c>
      <c r="F2" s="55" t="s">
        <v>83</v>
      </c>
      <c r="G2" s="55" t="s">
        <v>85</v>
      </c>
      <c r="H2" s="55" t="s">
        <v>83</v>
      </c>
      <c r="I2" s="55" t="s">
        <v>83</v>
      </c>
      <c r="J2" s="55" t="s">
        <v>95</v>
      </c>
      <c r="K2" s="55" t="s">
        <v>87</v>
      </c>
      <c r="L2" s="55" t="s">
        <v>86</v>
      </c>
      <c r="M2" s="55" t="s">
        <v>83</v>
      </c>
      <c r="N2" s="55" t="s">
        <v>90</v>
      </c>
      <c r="O2" s="55" t="s">
        <v>88</v>
      </c>
      <c r="P2" s="55" t="s">
        <v>89</v>
      </c>
      <c r="Q2" s="55" t="s">
        <v>93</v>
      </c>
      <c r="R2" s="55" t="s">
        <v>96</v>
      </c>
      <c r="S2" s="55" t="s">
        <v>92</v>
      </c>
      <c r="T2" s="55" t="s">
        <v>94</v>
      </c>
      <c r="U2" s="55" t="s">
        <v>91</v>
      </c>
      <c r="V2" s="55" t="s">
        <v>100</v>
      </c>
      <c r="W2" s="55" t="s">
        <v>97</v>
      </c>
      <c r="X2" s="55" t="s">
        <v>100</v>
      </c>
      <c r="Y2" s="55" t="s">
        <v>83</v>
      </c>
      <c r="Z2" s="55" t="s">
        <v>98</v>
      </c>
      <c r="AA2" s="55" t="s">
        <v>100</v>
      </c>
      <c r="AB2" s="55" t="s">
        <v>101</v>
      </c>
      <c r="AC2" s="55" t="s">
        <v>100</v>
      </c>
      <c r="AD2" s="55" t="s">
        <v>102</v>
      </c>
      <c r="AE2" s="55" t="s">
        <v>105</v>
      </c>
      <c r="AF2" s="55" t="s">
        <v>104</v>
      </c>
      <c r="AG2" s="55" t="s">
        <v>103</v>
      </c>
      <c r="AH2" s="55" t="s">
        <v>109</v>
      </c>
      <c r="AI2" s="55" t="s">
        <v>106</v>
      </c>
      <c r="AJ2" s="55" t="s">
        <v>107</v>
      </c>
      <c r="AK2" s="55" t="s">
        <v>108</v>
      </c>
      <c r="AL2" s="55" t="s">
        <v>110</v>
      </c>
      <c r="AM2" s="55" t="s">
        <v>111</v>
      </c>
      <c r="AN2" s="55" t="s">
        <v>113</v>
      </c>
      <c r="AO2" s="55" t="s">
        <v>112</v>
      </c>
      <c r="AP2" s="55" t="s">
        <v>114</v>
      </c>
      <c r="AQ2" s="55" t="s">
        <v>100</v>
      </c>
      <c r="AR2" s="55" t="s">
        <v>99</v>
      </c>
      <c r="AS2" s="55" t="s">
        <v>395</v>
      </c>
      <c r="AT2" s="55" t="s">
        <v>115</v>
      </c>
      <c r="AU2" s="55" t="s">
        <v>116</v>
      </c>
      <c r="AV2" s="55" t="s">
        <v>118</v>
      </c>
      <c r="AW2" s="55" t="s">
        <v>117</v>
      </c>
      <c r="AY2" s="55" t="s">
        <v>119</v>
      </c>
    </row>
    <row r="3" spans="1:51" ht="12.75">
      <c r="A3" s="7"/>
      <c r="B3" s="55"/>
      <c r="C3" s="55" t="s">
        <v>122</v>
      </c>
      <c r="D3" s="55" t="s">
        <v>57</v>
      </c>
      <c r="E3" s="55" t="s">
        <v>57</v>
      </c>
      <c r="F3" s="55" t="s">
        <v>99</v>
      </c>
      <c r="G3" s="55" t="s">
        <v>123</v>
      </c>
      <c r="H3" s="55" t="s">
        <v>99</v>
      </c>
      <c r="I3" s="55" t="s">
        <v>124</v>
      </c>
      <c r="J3" s="55"/>
      <c r="K3" s="55" t="s">
        <v>57</v>
      </c>
      <c r="L3" s="55" t="s">
        <v>125</v>
      </c>
      <c r="M3" s="55" t="s">
        <v>99</v>
      </c>
      <c r="N3" s="55" t="s">
        <v>57</v>
      </c>
      <c r="O3" s="55" t="s">
        <v>123</v>
      </c>
      <c r="P3" s="55" t="s">
        <v>126</v>
      </c>
      <c r="Q3" s="55" t="s">
        <v>128</v>
      </c>
      <c r="R3" s="55" t="s">
        <v>130</v>
      </c>
      <c r="S3" s="55" t="s">
        <v>127</v>
      </c>
      <c r="T3" s="55" t="s">
        <v>129</v>
      </c>
      <c r="U3" s="55" t="s">
        <v>57</v>
      </c>
      <c r="V3" s="55" t="s">
        <v>139</v>
      </c>
      <c r="W3" s="55" t="s">
        <v>123</v>
      </c>
      <c r="X3" s="55" t="s">
        <v>134</v>
      </c>
      <c r="Y3" s="55" t="s">
        <v>133</v>
      </c>
      <c r="Z3" s="55" t="s">
        <v>131</v>
      </c>
      <c r="AA3" s="55" t="s">
        <v>132</v>
      </c>
      <c r="AB3" s="55"/>
      <c r="AC3" s="55" t="s">
        <v>136</v>
      </c>
      <c r="AD3" s="55" t="s">
        <v>135</v>
      </c>
      <c r="AE3" s="55"/>
      <c r="AF3" s="55" t="s">
        <v>138</v>
      </c>
      <c r="AG3" s="55" t="s">
        <v>137</v>
      </c>
      <c r="AH3" s="55" t="s">
        <v>142</v>
      </c>
      <c r="AI3" s="55" t="s">
        <v>372</v>
      </c>
      <c r="AJ3" s="55" t="s">
        <v>140</v>
      </c>
      <c r="AK3" s="55" t="s">
        <v>141</v>
      </c>
      <c r="AL3" s="55" t="s">
        <v>143</v>
      </c>
      <c r="AM3" s="55" t="s">
        <v>144</v>
      </c>
      <c r="AN3" s="55" t="s">
        <v>145</v>
      </c>
      <c r="AO3" s="55" t="s">
        <v>101</v>
      </c>
      <c r="AP3" s="55" t="s">
        <v>146</v>
      </c>
      <c r="AQ3" s="55" t="s">
        <v>147</v>
      </c>
      <c r="AR3" s="55" t="s">
        <v>148</v>
      </c>
      <c r="AS3" s="55" t="s">
        <v>394</v>
      </c>
      <c r="AT3" s="55" t="s">
        <v>149</v>
      </c>
      <c r="AU3" s="55" t="s">
        <v>150</v>
      </c>
      <c r="AV3" s="55" t="s">
        <v>152</v>
      </c>
      <c r="AW3" s="55" t="s">
        <v>151</v>
      </c>
      <c r="AY3" s="55" t="s">
        <v>153</v>
      </c>
    </row>
    <row r="4" spans="1:49" s="59" customFormat="1" ht="12.75">
      <c r="A4" s="55"/>
      <c r="B4" s="58" t="s">
        <v>362</v>
      </c>
      <c r="C4" s="58" t="s">
        <v>155</v>
      </c>
      <c r="D4" s="58" t="s">
        <v>159</v>
      </c>
      <c r="E4" s="58" t="s">
        <v>160</v>
      </c>
      <c r="F4" s="58" t="s">
        <v>163</v>
      </c>
      <c r="G4" s="58" t="s">
        <v>164</v>
      </c>
      <c r="H4" s="58" t="s">
        <v>165</v>
      </c>
      <c r="I4" s="58" t="s">
        <v>166</v>
      </c>
      <c r="J4" s="58" t="s">
        <v>167</v>
      </c>
      <c r="K4" s="58" t="s">
        <v>168</v>
      </c>
      <c r="L4" s="58" t="s">
        <v>169</v>
      </c>
      <c r="M4" s="58" t="s">
        <v>170</v>
      </c>
      <c r="N4" s="58" t="s">
        <v>171</v>
      </c>
      <c r="O4" s="58" t="s">
        <v>172</v>
      </c>
      <c r="P4" s="58" t="s">
        <v>173</v>
      </c>
      <c r="Q4" s="58" t="s">
        <v>174</v>
      </c>
      <c r="R4" s="58" t="s">
        <v>175</v>
      </c>
      <c r="S4" s="58" t="s">
        <v>176</v>
      </c>
      <c r="T4" s="58" t="s">
        <v>177</v>
      </c>
      <c r="U4" s="58" t="s">
        <v>178</v>
      </c>
      <c r="V4" s="58" t="s">
        <v>179</v>
      </c>
      <c r="W4" s="58" t="s">
        <v>180</v>
      </c>
      <c r="X4" s="58" t="s">
        <v>477</v>
      </c>
      <c r="Y4" s="58" t="s">
        <v>181</v>
      </c>
      <c r="Z4" s="58" t="s">
        <v>182</v>
      </c>
      <c r="AA4" s="58" t="s">
        <v>183</v>
      </c>
      <c r="AB4" s="58" t="s">
        <v>184</v>
      </c>
      <c r="AC4" s="58" t="s">
        <v>185</v>
      </c>
      <c r="AD4" s="58" t="s">
        <v>186</v>
      </c>
      <c r="AE4" s="58" t="s">
        <v>187</v>
      </c>
      <c r="AF4" s="58" t="s">
        <v>188</v>
      </c>
      <c r="AG4" s="58" t="s">
        <v>189</v>
      </c>
      <c r="AH4" s="58" t="s">
        <v>192</v>
      </c>
      <c r="AI4" s="58" t="s">
        <v>193</v>
      </c>
      <c r="AJ4" s="58" t="s">
        <v>194</v>
      </c>
      <c r="AK4" s="58" t="s">
        <v>195</v>
      </c>
      <c r="AL4" s="58" t="s">
        <v>196</v>
      </c>
      <c r="AM4" s="58" t="s">
        <v>198</v>
      </c>
      <c r="AN4" s="58" t="s">
        <v>199</v>
      </c>
      <c r="AO4" s="58" t="s">
        <v>200</v>
      </c>
      <c r="AP4" s="58" t="s">
        <v>201</v>
      </c>
      <c r="AQ4" s="58" t="s">
        <v>202</v>
      </c>
      <c r="AR4" s="58" t="s">
        <v>203</v>
      </c>
      <c r="AS4" s="58" t="s">
        <v>204</v>
      </c>
      <c r="AT4" s="58" t="s">
        <v>205</v>
      </c>
      <c r="AU4" s="58" t="s">
        <v>206</v>
      </c>
      <c r="AV4" s="58" t="s">
        <v>207</v>
      </c>
      <c r="AW4" s="58" t="s">
        <v>208</v>
      </c>
    </row>
    <row r="5" spans="1:53" ht="12.75">
      <c r="A5" s="61"/>
      <c r="B5" s="62"/>
      <c r="C5" s="62"/>
      <c r="D5" s="67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1"/>
      <c r="AZ5" s="61"/>
      <c r="BA5" s="61"/>
    </row>
    <row r="6" spans="1:53" ht="12.75">
      <c r="A6" s="61"/>
      <c r="B6" s="62"/>
      <c r="C6" s="62"/>
      <c r="D6" s="67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1"/>
      <c r="AZ6" s="61"/>
      <c r="BA6" s="61"/>
    </row>
    <row r="7" spans="1:54" ht="12.75">
      <c r="A7" s="9" t="s">
        <v>318</v>
      </c>
      <c r="B7" s="7"/>
      <c r="C7" s="7"/>
      <c r="D7" s="51"/>
      <c r="E7" s="7"/>
      <c r="F7" s="7"/>
      <c r="G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75">
      <c r="A8" s="10" t="s">
        <v>319</v>
      </c>
      <c r="B8" s="8">
        <f>+'4.1. Samtryggingard.'!B123+'4.1. Samtryggingard.'!C123+'5.1. Séreignard.'!B127+'5.1. Séreignard.'!C127+'5.1. Séreignard.'!D127</f>
        <v>24211289</v>
      </c>
      <c r="C8" s="126">
        <f>+'4.1. Samtryggingard.'!D123+'5.1. Séreignard.'!E127</f>
        <v>9057047</v>
      </c>
      <c r="D8" s="79">
        <f>+'4.1. Samtryggingard.'!E123+'5.1. Séreignard.'!F127+'5.1. Séreignard.'!G127</f>
        <v>3675507.897</v>
      </c>
      <c r="E8" s="79">
        <f>+'4.1. Samtryggingard.'!F123+'5.1. Séreignard.'!H127+'5.1. Séreignard.'!I127+'5.1. Séreignard.'!J127</f>
        <v>1878817</v>
      </c>
      <c r="F8" s="79">
        <f>+'4.1. Samtryggingard.'!G123+'4.1. Samtryggingard.'!H123+'5.1. Séreignard.'!K127+'5.1. Séreignard.'!L127</f>
        <v>3442723</v>
      </c>
      <c r="G8" s="8">
        <f>+'4.1. Samtryggingard.'!I123+'5.1. Séreignard.'!M127+'5.1. Séreignard.'!N127</f>
        <v>1863239</v>
      </c>
      <c r="H8" s="8">
        <f>+'4.1. Samtryggingard.'!J123+'5.1. Séreignard.'!O127+'5.1. Séreignard.'!P127+'5.1. Séreignard.'!Q127</f>
        <v>3193434</v>
      </c>
      <c r="I8" s="8">
        <f>+'4.1. Samtryggingard.'!K123+'5.1. Séreignard.'!R127</f>
        <v>1699394</v>
      </c>
      <c r="J8" s="8">
        <f>+'4.1. Samtryggingard.'!L123+'5.1. Séreignard.'!S127+'5.1. Séreignard.'!T127+'5.1. Séreignard.'!U127+'5.1. Séreignard.'!V127</f>
        <v>3902062.4070000006</v>
      </c>
      <c r="K8" s="8">
        <f>+'4.1. Samtryggingard.'!M123+'5.1. Séreignard.'!W127+'5.1. Séreignard.'!X127</f>
        <v>1678469</v>
      </c>
      <c r="L8" s="8">
        <f>+'4.1. Samtryggingard.'!N123+'4.1. Samtryggingard.'!O123</f>
        <v>961119</v>
      </c>
      <c r="M8" s="8">
        <f>+'4.1. Samtryggingard.'!P123+'4.1. Samtryggingard.'!Q123+'5.1. Séreignard.'!Y127</f>
        <v>824707</v>
      </c>
      <c r="N8" s="79">
        <f>+'4.1. Samtryggingard.'!R123</f>
        <v>792982</v>
      </c>
      <c r="O8" s="8">
        <f>+'4.1. Samtryggingard.'!S123+'5.1. Séreignard.'!Z127</f>
        <v>1074229</v>
      </c>
      <c r="P8" s="8">
        <f>+'4.1. Samtryggingard.'!T123+'5.1. Séreignard.'!AA127</f>
        <v>558746.307</v>
      </c>
      <c r="Q8" s="8">
        <f>+'4.1. Samtryggingard.'!U123+'5.1. Séreignard.'!AB127</f>
        <v>1415686.166</v>
      </c>
      <c r="R8" s="79">
        <f>+'4.1. Samtryggingard.'!V123</f>
        <v>1558852</v>
      </c>
      <c r="S8" s="79">
        <f>+'4.1. Samtryggingard.'!W123</f>
        <v>872470</v>
      </c>
      <c r="T8" s="79">
        <f>+'4.1. Samtryggingard.'!X123+'5.1. Séreignard.'!AC127+'5.1. Séreignard.'!AD127</f>
        <v>475147</v>
      </c>
      <c r="U8" s="79">
        <f>+'4.1. Samtryggingard.'!Y123</f>
        <v>362130.649</v>
      </c>
      <c r="V8" s="8">
        <f>+'4.1. Samtryggingard.'!Z123+'4.1. Samtryggingard.'!AA123+'5.1. Séreignard.'!AE127+'5.1. Séreignard.'!AF127+'5.1. Séreignard.'!AG127</f>
        <v>2414792.73</v>
      </c>
      <c r="W8" s="8">
        <f>+'4.1. Samtryggingard.'!AB123+'5.1. Séreignard.'!AH127</f>
        <v>560963</v>
      </c>
      <c r="X8" s="79">
        <f>+'4.1. Samtryggingard.'!AC123</f>
        <v>4522567.829</v>
      </c>
      <c r="Y8" s="8">
        <f>+'4.1. Samtryggingard.'!AD123+'5.1. Séreignard.'!AI127+'5.1. Séreignard.'!AJ127+'5.1. Séreignard.'!AK127+'5.1. Séreignard.'!AL127</f>
        <v>1740328.464</v>
      </c>
      <c r="Z8" s="79">
        <f>+'4.1. Samtryggingard.'!AE123</f>
        <v>550177</v>
      </c>
      <c r="AA8" s="8">
        <f>+'4.1. Samtryggingard.'!AF123</f>
        <v>88250.551</v>
      </c>
      <c r="AB8" s="8">
        <f>+'4.1. Samtryggingard.'!AG123</f>
        <v>419306</v>
      </c>
      <c r="AC8" s="8">
        <f>+'4.1. Samtryggingard.'!AH123</f>
        <v>395362.9</v>
      </c>
      <c r="AD8" s="8">
        <f>+'4.1. Samtryggingard.'!AI123+'4.1. Samtryggingard.'!AJ123</f>
        <v>0</v>
      </c>
      <c r="AE8" s="8">
        <f>+'4.1. Samtryggingard.'!AK123+'5.1. Séreignard.'!AM127</f>
        <v>125061</v>
      </c>
      <c r="AF8" s="79">
        <f>+'4.1. Samtryggingard.'!AL123</f>
        <v>99830</v>
      </c>
      <c r="AG8" s="79">
        <f>+'4.1. Samtryggingard.'!AM123</f>
        <v>0</v>
      </c>
      <c r="AH8" s="79">
        <f>+'4.1. Samtryggingard.'!AN123+'5.1. Séreignard.'!AN127</f>
        <v>93188</v>
      </c>
      <c r="AI8" s="79">
        <f>+'4.1. Samtryggingard.'!AO123</f>
        <v>112461</v>
      </c>
      <c r="AJ8" s="8">
        <f>+'4.1. Samtryggingard.'!AP123</f>
        <v>69911.797</v>
      </c>
      <c r="AK8" s="8">
        <f>+'4.1. Samtryggingard.'!AQ123</f>
        <v>11749</v>
      </c>
      <c r="AL8" s="8">
        <f>+'4.1. Samtryggingard.'!AR123</f>
        <v>131308</v>
      </c>
      <c r="AM8" s="8">
        <f>+'4.1. Samtryggingard.'!AS123</f>
        <v>18183</v>
      </c>
      <c r="AN8" s="8">
        <f>+'4.1. Samtryggingard.'!AT123</f>
        <v>0</v>
      </c>
      <c r="AO8" s="8">
        <f>+'4.1. Samtryggingard.'!AU123</f>
        <v>0</v>
      </c>
      <c r="AP8" s="8">
        <f>+'4.1. Samtryggingard.'!AV123</f>
        <v>34308</v>
      </c>
      <c r="AQ8" s="8">
        <f>+'4.1. Samtryggingard.'!AW123</f>
        <v>1112</v>
      </c>
      <c r="AR8" s="8">
        <f>+'4.1. Samtryggingard.'!AX123</f>
        <v>0</v>
      </c>
      <c r="AS8" s="8">
        <f>+'4.1. Samtryggingard.'!AY123</f>
        <v>25920.799</v>
      </c>
      <c r="AT8" s="8">
        <f>+'4.1. Samtryggingard.'!AZ123</f>
        <v>30270</v>
      </c>
      <c r="AU8" s="8">
        <f>+'4.1. Samtryggingard.'!BA123</f>
        <v>130000</v>
      </c>
      <c r="AV8" s="8">
        <f>+'4.1. Samtryggingard.'!BB123</f>
        <v>0</v>
      </c>
      <c r="AW8" s="8">
        <f>+'4.1. Samtryggingard.'!BC123</f>
        <v>27252</v>
      </c>
      <c r="AX8" s="8"/>
      <c r="AY8" s="7">
        <f aca="true" t="shared" si="0" ref="AY8:AY17">SUM(B8:AW8)</f>
        <v>75100354.496</v>
      </c>
      <c r="AZ8" s="7"/>
      <c r="BA8" s="7"/>
      <c r="BB8" s="8"/>
    </row>
    <row r="9" spans="1:54" ht="12.75">
      <c r="A9" s="10" t="s">
        <v>320</v>
      </c>
      <c r="B9" s="8">
        <f>+'4.1. Samtryggingard.'!B124+'4.1. Samtryggingard.'!C124+'5.1. Séreignard.'!B128+'5.1. Séreignard.'!C128+'5.1. Séreignard.'!D128</f>
        <v>8415112</v>
      </c>
      <c r="C9" s="126">
        <f>+'4.1. Samtryggingard.'!D124+'5.1. Séreignard.'!E128</f>
        <v>6906179</v>
      </c>
      <c r="D9" s="79">
        <f>+'4.1. Samtryggingard.'!E124+'5.1. Séreignard.'!F128+'5.1. Séreignard.'!G128</f>
        <v>3307357.081</v>
      </c>
      <c r="E9" s="79">
        <f>+'4.1. Samtryggingard.'!F124+'5.1. Séreignard.'!H128+'5.1. Séreignard.'!I128+'5.1. Séreignard.'!J128</f>
        <v>3067963</v>
      </c>
      <c r="F9" s="79">
        <f>+'4.1. Samtryggingard.'!G124+'4.1. Samtryggingard.'!H124+'5.1. Séreignard.'!K128+'5.1. Séreignard.'!L128</f>
        <v>4486414</v>
      </c>
      <c r="G9" s="8">
        <f>+'4.1. Samtryggingard.'!I124+'5.1. Séreignard.'!M128+'5.1. Séreignard.'!N128</f>
        <v>1780036</v>
      </c>
      <c r="H9" s="8">
        <f>+'4.1. Samtryggingard.'!J124+'5.1. Séreignard.'!O128+'5.1. Séreignard.'!P128+'5.1. Séreignard.'!Q128</f>
        <v>490624</v>
      </c>
      <c r="I9" s="8">
        <f>+'4.1. Samtryggingard.'!K124+'5.1. Séreignard.'!R128</f>
        <v>887769</v>
      </c>
      <c r="J9" s="8">
        <f>+'4.1. Samtryggingard.'!L124+'5.1. Séreignard.'!S128+'5.1. Séreignard.'!T128+'5.1. Séreignard.'!U128+'5.1. Séreignard.'!V128</f>
        <v>1065318</v>
      </c>
      <c r="K9" s="8">
        <f>+'4.1. Samtryggingard.'!M124+'5.1. Séreignard.'!W128+'5.1. Séreignard.'!X128</f>
        <v>398366</v>
      </c>
      <c r="L9" s="8">
        <f>+'4.1. Samtryggingard.'!N124+'4.1. Samtryggingard.'!O124</f>
        <v>1453997</v>
      </c>
      <c r="M9" s="8">
        <f>+'4.1. Samtryggingard.'!P124+'4.1. Samtryggingard.'!Q124+'5.1. Séreignard.'!Y128</f>
        <v>1675889</v>
      </c>
      <c r="N9" s="79">
        <f>+'4.1. Samtryggingard.'!R124</f>
        <v>570488</v>
      </c>
      <c r="O9" s="8">
        <f>+'4.1. Samtryggingard.'!S124+'5.1. Séreignard.'!Z128</f>
        <v>45167</v>
      </c>
      <c r="P9" s="8">
        <f>+'4.1. Samtryggingard.'!T124+'5.1. Séreignard.'!AA128</f>
        <v>213995.35199999998</v>
      </c>
      <c r="Q9" s="8">
        <f>+'4.1. Samtryggingard.'!U124+'5.1. Séreignard.'!AB128</f>
        <v>516356.163</v>
      </c>
      <c r="R9" s="79">
        <f>+'4.1. Samtryggingard.'!V124</f>
        <v>869626</v>
      </c>
      <c r="S9" s="79">
        <f>+'4.1. Samtryggingard.'!W124</f>
        <v>159390</v>
      </c>
      <c r="T9" s="79">
        <f>+'4.1. Samtryggingard.'!X124+'5.1. Séreignard.'!AC128+'5.1. Séreignard.'!AD128</f>
        <v>413304</v>
      </c>
      <c r="U9" s="79">
        <f>+'4.1. Samtryggingard.'!Y124</f>
        <v>263983.929</v>
      </c>
      <c r="V9" s="8">
        <f>+'4.1. Samtryggingard.'!Z124+'4.1. Samtryggingard.'!AA124+'5.1. Séreignard.'!AE128+'5.1. Séreignard.'!AF128+'5.1. Séreignard.'!AG128</f>
        <v>622351.8960000001</v>
      </c>
      <c r="W9" s="8">
        <f>+'4.1. Samtryggingard.'!AB124+'5.1. Séreignard.'!AH128</f>
        <v>397278</v>
      </c>
      <c r="X9" s="79">
        <f>+'4.1. Samtryggingard.'!AC124</f>
        <v>833958.756</v>
      </c>
      <c r="Y9" s="8">
        <f>+'4.1. Samtryggingard.'!AD124+'5.1. Séreignard.'!AI128+'5.1. Séreignard.'!AJ128+'5.1. Séreignard.'!AK128+'5.1. Séreignard.'!AL128</f>
        <v>78312.598</v>
      </c>
      <c r="Z9" s="79">
        <f>+'4.1. Samtryggingard.'!AE124</f>
        <v>271408</v>
      </c>
      <c r="AA9" s="8">
        <f>+'4.1. Samtryggingard.'!AF124</f>
        <v>395349.827</v>
      </c>
      <c r="AB9" s="8">
        <f>+'4.1. Samtryggingard.'!AG124</f>
        <v>181455</v>
      </c>
      <c r="AC9" s="8">
        <f>+'4.1. Samtryggingard.'!AH124</f>
        <v>35494.1</v>
      </c>
      <c r="AD9" s="8">
        <f>+'4.1. Samtryggingard.'!AI124+'4.1. Samtryggingard.'!AJ124</f>
        <v>107255</v>
      </c>
      <c r="AE9" s="8">
        <f>+'4.1. Samtryggingard.'!AK124+'5.1. Séreignard.'!AM128</f>
        <v>166855</v>
      </c>
      <c r="AF9" s="79">
        <f>+'4.1. Samtryggingard.'!AL124</f>
        <v>34462</v>
      </c>
      <c r="AG9" s="79">
        <f>+'4.1. Samtryggingard.'!AM124</f>
        <v>50300</v>
      </c>
      <c r="AH9" s="79">
        <f>+'4.1. Samtryggingard.'!AN124+'5.1. Séreignard.'!AN128</f>
        <v>13207</v>
      </c>
      <c r="AI9" s="79">
        <f>+'4.1. Samtryggingard.'!AO124</f>
        <v>49523</v>
      </c>
      <c r="AJ9" s="8">
        <f>+'4.1. Samtryggingard.'!AP124</f>
        <v>71754.769</v>
      </c>
      <c r="AK9" s="8">
        <f>+'4.1. Samtryggingard.'!AQ124</f>
        <v>14185</v>
      </c>
      <c r="AL9" s="8">
        <f>+'4.1. Samtryggingard.'!AR124</f>
        <v>75449</v>
      </c>
      <c r="AM9" s="8">
        <f>+'4.1. Samtryggingard.'!AS124</f>
        <v>41944</v>
      </c>
      <c r="AN9" s="8">
        <f>+'4.1. Samtryggingard.'!AT124</f>
        <v>17560</v>
      </c>
      <c r="AO9" s="8">
        <f>+'4.1. Samtryggingard.'!AU124</f>
        <v>40012.825</v>
      </c>
      <c r="AP9" s="8">
        <f>+'4.1. Samtryggingard.'!AV124</f>
        <v>16261</v>
      </c>
      <c r="AQ9" s="8">
        <f>+'4.1. Samtryggingard.'!AW124</f>
        <v>9999</v>
      </c>
      <c r="AR9" s="8">
        <f>+'4.1. Samtryggingard.'!AX124</f>
        <v>42738.901</v>
      </c>
      <c r="AS9" s="8">
        <f>+'4.1. Samtryggingard.'!AY124</f>
        <v>15417.128</v>
      </c>
      <c r="AT9" s="8">
        <f>+'4.1. Samtryggingard.'!AZ124</f>
        <v>6219</v>
      </c>
      <c r="AU9" s="8">
        <f>+'4.1. Samtryggingard.'!BA124</f>
        <v>5033</v>
      </c>
      <c r="AV9" s="8">
        <f>+'4.1. Samtryggingard.'!BB124</f>
        <v>6</v>
      </c>
      <c r="AW9" s="8">
        <f>+'4.1. Samtryggingard.'!BC124</f>
        <v>2497</v>
      </c>
      <c r="AX9" s="8"/>
      <c r="AY9" s="7">
        <f t="shared" si="0"/>
        <v>40583621.324999996</v>
      </c>
      <c r="AZ9" s="7"/>
      <c r="BA9" s="7"/>
      <c r="BB9" s="8"/>
    </row>
    <row r="10" spans="1:54" ht="12.75">
      <c r="A10" s="10" t="s">
        <v>321</v>
      </c>
      <c r="B10" s="8">
        <f>+'4.1. Samtryggingard.'!B125+'4.1. Samtryggingard.'!C125+'5.1. Séreignard.'!B129+'5.1. Séreignard.'!C129+'5.1. Séreignard.'!D129</f>
        <v>0</v>
      </c>
      <c r="C10" s="126">
        <f>+'4.1. Samtryggingard.'!D125+'5.1. Séreignard.'!E129</f>
        <v>0</v>
      </c>
      <c r="D10" s="79">
        <f>+'4.1. Samtryggingard.'!E125+'5.1. Séreignard.'!F129+'5.1. Séreignard.'!G129</f>
        <v>44911.101</v>
      </c>
      <c r="E10" s="79">
        <f>+'4.1. Samtryggingard.'!F125+'5.1. Séreignard.'!H129+'5.1. Séreignard.'!I129+'5.1. Séreignard.'!J129</f>
        <v>0</v>
      </c>
      <c r="F10" s="79">
        <f>+'4.1. Samtryggingard.'!G125+'4.1. Samtryggingard.'!H125+'5.1. Séreignard.'!K129+'5.1. Séreignard.'!L129</f>
        <v>0</v>
      </c>
      <c r="G10" s="8">
        <f>+'4.1. Samtryggingard.'!I125+'5.1. Séreignard.'!M129+'5.1. Séreignard.'!N129</f>
        <v>0</v>
      </c>
      <c r="H10" s="8">
        <f>+'4.1. Samtryggingard.'!J125+'5.1. Séreignard.'!O129+'5.1. Séreignard.'!P129+'5.1. Séreignard.'!Q129</f>
        <v>0</v>
      </c>
      <c r="I10" s="8">
        <f>+'4.1. Samtryggingard.'!K125+'5.1. Séreignard.'!R129</f>
        <v>0</v>
      </c>
      <c r="J10" s="8">
        <f>+'4.1. Samtryggingard.'!L125+'5.1. Séreignard.'!S129+'5.1. Séreignard.'!T129+'5.1. Séreignard.'!U129+'5.1. Séreignard.'!V129</f>
        <v>0</v>
      </c>
      <c r="K10" s="8">
        <f>+'4.1. Samtryggingard.'!M125+'5.1. Séreignard.'!W129+'5.1. Séreignard.'!X129</f>
        <v>0</v>
      </c>
      <c r="L10" s="8">
        <f>+'4.1. Samtryggingard.'!N125+'4.1. Samtryggingard.'!O125</f>
        <v>0</v>
      </c>
      <c r="M10" s="8">
        <f>+'4.1. Samtryggingard.'!P125+'4.1. Samtryggingard.'!Q125+'5.1. Séreignard.'!Y129</f>
        <v>0</v>
      </c>
      <c r="N10" s="79">
        <f>+'4.1. Samtryggingard.'!R125</f>
        <v>0</v>
      </c>
      <c r="O10" s="8">
        <f>+'4.1. Samtryggingard.'!S125+'5.1. Séreignard.'!Z129</f>
        <v>0</v>
      </c>
      <c r="P10" s="8">
        <f>+'4.1. Samtryggingard.'!T125+'5.1. Séreignard.'!AA129</f>
        <v>0</v>
      </c>
      <c r="Q10" s="8">
        <f>+'4.1. Samtryggingard.'!U125+'5.1. Séreignard.'!AB129</f>
        <v>1895.543</v>
      </c>
      <c r="R10" s="79">
        <f>+'4.1. Samtryggingard.'!V125</f>
        <v>0</v>
      </c>
      <c r="S10" s="79">
        <f>+'4.1. Samtryggingard.'!W125</f>
        <v>4952</v>
      </c>
      <c r="T10" s="79">
        <f>+'4.1. Samtryggingard.'!X125+'5.1. Séreignard.'!AC129+'5.1. Séreignard.'!AD129</f>
        <v>0</v>
      </c>
      <c r="U10" s="79">
        <f>+'4.1. Samtryggingard.'!Y125</f>
        <v>62541.936</v>
      </c>
      <c r="V10" s="8">
        <f>+'4.1. Samtryggingard.'!Z125+'4.1. Samtryggingard.'!AA125+'5.1. Séreignard.'!AE129+'5.1. Séreignard.'!AF129+'5.1. Séreignard.'!AG129</f>
        <v>0</v>
      </c>
      <c r="W10" s="8">
        <f>+'4.1. Samtryggingard.'!AB125+'5.1. Séreignard.'!AH129</f>
        <v>0</v>
      </c>
      <c r="X10" s="79">
        <f>+'4.1. Samtryggingard.'!AC125</f>
        <v>0</v>
      </c>
      <c r="Y10" s="8">
        <f>+'4.1. Samtryggingard.'!AD125+'5.1. Séreignard.'!AI129+'5.1. Séreignard.'!AJ129+'5.1. Séreignard.'!AK129+'5.1. Séreignard.'!AL129</f>
        <v>0</v>
      </c>
      <c r="Z10" s="79">
        <f>+'4.1. Samtryggingard.'!AE125</f>
        <v>0</v>
      </c>
      <c r="AA10" s="8">
        <f>+'4.1. Samtryggingard.'!AF125</f>
        <v>0</v>
      </c>
      <c r="AB10" s="8">
        <f>+'4.1. Samtryggingard.'!AG125</f>
        <v>0</v>
      </c>
      <c r="AC10" s="8">
        <f>+'4.1. Samtryggingard.'!AH125</f>
        <v>2566.8</v>
      </c>
      <c r="AD10" s="8">
        <f>+'4.1. Samtryggingard.'!AI125+'4.1. Samtryggingard.'!AJ125</f>
        <v>0</v>
      </c>
      <c r="AE10" s="8">
        <f>+'4.1. Samtryggingard.'!AK125+'5.1. Séreignard.'!AM129</f>
        <v>1512</v>
      </c>
      <c r="AF10" s="79">
        <f>+'4.1. Samtryggingard.'!AL125</f>
        <v>2053</v>
      </c>
      <c r="AG10" s="79">
        <f>+'4.1. Samtryggingard.'!AM125</f>
        <v>0</v>
      </c>
      <c r="AH10" s="79">
        <f>+'4.1. Samtryggingard.'!AN125+'5.1. Séreignard.'!AN129</f>
        <v>0</v>
      </c>
      <c r="AI10" s="79">
        <f>+'4.1. Samtryggingard.'!AO125</f>
        <v>10803</v>
      </c>
      <c r="AJ10" s="8">
        <f>+'4.1. Samtryggingard.'!AP125</f>
        <v>0</v>
      </c>
      <c r="AK10" s="8">
        <f>+'4.1. Samtryggingard.'!AQ125</f>
        <v>0</v>
      </c>
      <c r="AL10" s="8">
        <f>+'4.1. Samtryggingard.'!AR125</f>
        <v>0</v>
      </c>
      <c r="AM10" s="8">
        <f>+'4.1. Samtryggingard.'!AS125</f>
        <v>0</v>
      </c>
      <c r="AN10" s="8">
        <f>+'4.1. Samtryggingard.'!AT125</f>
        <v>0</v>
      </c>
      <c r="AO10" s="8">
        <f>+'4.1. Samtryggingard.'!AU125</f>
        <v>0</v>
      </c>
      <c r="AP10" s="8">
        <f>+'4.1. Samtryggingard.'!AV125</f>
        <v>0</v>
      </c>
      <c r="AQ10" s="8">
        <f>+'4.1. Samtryggingard.'!AW125</f>
        <v>0</v>
      </c>
      <c r="AR10" s="8">
        <f>+'4.1. Samtryggingard.'!AX125</f>
        <v>35137</v>
      </c>
      <c r="AS10" s="8">
        <f>+'4.1. Samtryggingard.'!AY125</f>
        <v>0</v>
      </c>
      <c r="AT10" s="8">
        <f>+'4.1. Samtryggingard.'!AZ125</f>
        <v>0</v>
      </c>
      <c r="AU10" s="8">
        <f>+'4.1. Samtryggingard.'!BA125</f>
        <v>0</v>
      </c>
      <c r="AV10" s="8">
        <f>+'4.1. Samtryggingard.'!BB125</f>
        <v>0</v>
      </c>
      <c r="AW10" s="8">
        <f>+'4.1. Samtryggingard.'!BC125</f>
        <v>0</v>
      </c>
      <c r="AX10" s="8"/>
      <c r="AY10" s="7">
        <f t="shared" si="0"/>
        <v>166372.38</v>
      </c>
      <c r="AZ10" s="7"/>
      <c r="BA10" s="7"/>
      <c r="BB10" s="8"/>
    </row>
    <row r="11" spans="1:54" ht="12.75">
      <c r="A11" s="10" t="s">
        <v>322</v>
      </c>
      <c r="B11" s="8">
        <f>+'4.1. Samtryggingard.'!B126+'4.1. Samtryggingard.'!C126+'5.1. Séreignard.'!B130+'5.1. Séreignard.'!C130+'5.1. Séreignard.'!D130</f>
        <v>12841334</v>
      </c>
      <c r="C11" s="126">
        <f>+'4.1. Samtryggingard.'!D126+'5.1. Séreignard.'!E130</f>
        <v>8681715</v>
      </c>
      <c r="D11" s="79">
        <f>+'4.1. Samtryggingard.'!E126+'5.1. Séreignard.'!F130+'5.1. Séreignard.'!G130</f>
        <v>4334041.778999999</v>
      </c>
      <c r="E11" s="79">
        <f>+'4.1. Samtryggingard.'!F126+'5.1. Séreignard.'!H130+'5.1. Séreignard.'!I130+'5.1. Séreignard.'!J130</f>
        <v>4199393</v>
      </c>
      <c r="F11" s="79">
        <f>+'4.1. Samtryggingard.'!G126+'4.1. Samtryggingard.'!H126+'5.1. Séreignard.'!K130+'5.1. Séreignard.'!L130</f>
        <v>6903081</v>
      </c>
      <c r="G11" s="8">
        <f>+'4.1. Samtryggingard.'!I126+'5.1. Séreignard.'!M130+'5.1. Séreignard.'!N130</f>
        <v>1196995</v>
      </c>
      <c r="H11" s="8">
        <f>+'4.1. Samtryggingard.'!J126+'5.1. Séreignard.'!O130+'5.1. Séreignard.'!P130+'5.1. Séreignard.'!Q130</f>
        <v>1128009</v>
      </c>
      <c r="I11" s="8">
        <f>+'4.1. Samtryggingard.'!K126+'5.1. Séreignard.'!R130</f>
        <v>1889533</v>
      </c>
      <c r="J11" s="8">
        <f>+'4.1. Samtryggingard.'!L126+'5.1. Séreignard.'!S130+'5.1. Séreignard.'!T130+'5.1. Séreignard.'!U130+'5.1. Séreignard.'!V130</f>
        <v>614170.813104</v>
      </c>
      <c r="K11" s="8">
        <f>+'4.1. Samtryggingard.'!M126+'5.1. Séreignard.'!W130+'5.1. Séreignard.'!X130</f>
        <v>3267315</v>
      </c>
      <c r="L11" s="8">
        <f>+'4.1. Samtryggingard.'!N126+'4.1. Samtryggingard.'!O126</f>
        <v>4646536</v>
      </c>
      <c r="M11" s="8">
        <f>+'4.1. Samtryggingard.'!P126+'4.1. Samtryggingard.'!Q126+'5.1. Séreignard.'!Y130</f>
        <v>5754251</v>
      </c>
      <c r="N11" s="79">
        <f>+'4.1. Samtryggingard.'!R126</f>
        <v>793973</v>
      </c>
      <c r="O11" s="8">
        <f>+'4.1. Samtryggingard.'!S126+'5.1. Séreignard.'!Z130</f>
        <v>897293</v>
      </c>
      <c r="P11" s="8">
        <f>+'4.1. Samtryggingard.'!T126+'5.1. Séreignard.'!AA130</f>
        <v>1809444.311</v>
      </c>
      <c r="Q11" s="8">
        <f>+'4.1. Samtryggingard.'!U126+'5.1. Séreignard.'!AB130</f>
        <v>586532.195</v>
      </c>
      <c r="R11" s="79">
        <f>+'4.1. Samtryggingard.'!V126</f>
        <v>1043469</v>
      </c>
      <c r="S11" s="79">
        <f>+'4.1. Samtryggingard.'!W126</f>
        <v>699586</v>
      </c>
      <c r="T11" s="79">
        <f>+'4.1. Samtryggingard.'!X126+'5.1. Séreignard.'!AC130+'5.1. Séreignard.'!AD130</f>
        <v>622315</v>
      </c>
      <c r="U11" s="79">
        <f>+'4.1. Samtryggingard.'!Y126</f>
        <v>513786.628</v>
      </c>
      <c r="V11" s="8">
        <f>+'4.1. Samtryggingard.'!Z126+'4.1. Samtryggingard.'!AA126+'5.1. Séreignard.'!AE130+'5.1. Séreignard.'!AF130+'5.1. Séreignard.'!AG130</f>
        <v>163078.718</v>
      </c>
      <c r="W11" s="8">
        <f>+'4.1. Samtryggingard.'!AB126+'5.1. Séreignard.'!AH130</f>
        <v>1010030</v>
      </c>
      <c r="X11" s="79">
        <f>+'4.1. Samtryggingard.'!AC126</f>
        <v>100567.894</v>
      </c>
      <c r="Y11" s="8">
        <f>+'4.1. Samtryggingard.'!AD126+'5.1. Séreignard.'!AI130+'5.1. Séreignard.'!AJ130+'5.1. Séreignard.'!AK130+'5.1. Séreignard.'!AL130</f>
        <v>16687.300000000003</v>
      </c>
      <c r="Z11" s="79">
        <f>+'4.1. Samtryggingard.'!AE126</f>
        <v>390016</v>
      </c>
      <c r="AA11" s="8">
        <f>+'4.1. Samtryggingard.'!AF126</f>
        <v>496660.511</v>
      </c>
      <c r="AB11" s="8">
        <f>+'4.1. Samtryggingard.'!AG126</f>
        <v>265024</v>
      </c>
      <c r="AC11" s="8">
        <f>+'4.1. Samtryggingard.'!AH126</f>
        <v>19428.3</v>
      </c>
      <c r="AD11" s="8">
        <f>+'4.1. Samtryggingard.'!AI126+'4.1. Samtryggingard.'!AJ126</f>
        <v>120741</v>
      </c>
      <c r="AE11" s="8">
        <f>+'4.1. Samtryggingard.'!AK126+'5.1. Séreignard.'!AM130</f>
        <v>335178</v>
      </c>
      <c r="AF11" s="79">
        <f>+'4.1. Samtryggingard.'!AL126</f>
        <v>109647</v>
      </c>
      <c r="AG11" s="79">
        <f>+'4.1. Samtryggingard.'!AM126</f>
        <v>66649</v>
      </c>
      <c r="AH11" s="79">
        <f>+'4.1. Samtryggingard.'!AN126+'5.1. Séreignard.'!AN130</f>
        <v>30796</v>
      </c>
      <c r="AI11" s="79">
        <f>+'4.1. Samtryggingard.'!AO126</f>
        <v>196725</v>
      </c>
      <c r="AJ11" s="8">
        <f>+'4.1. Samtryggingard.'!AP126</f>
        <v>118319.831</v>
      </c>
      <c r="AK11" s="8">
        <f>+'4.1. Samtryggingard.'!AQ126</f>
        <v>52897</v>
      </c>
      <c r="AL11" s="8">
        <f>+'4.1. Samtryggingard.'!AR126</f>
        <v>72487</v>
      </c>
      <c r="AM11" s="8">
        <f>+'4.1. Samtryggingard.'!AS126</f>
        <v>51528</v>
      </c>
      <c r="AN11" s="8">
        <f>+'4.1. Samtryggingard.'!AT126</f>
        <v>17611</v>
      </c>
      <c r="AO11" s="8">
        <f>+'4.1. Samtryggingard.'!AU126</f>
        <v>60008.375</v>
      </c>
      <c r="AP11" s="8">
        <f>+'4.1. Samtryggingard.'!AV126</f>
        <v>52377</v>
      </c>
      <c r="AQ11" s="8">
        <f>+'4.1. Samtryggingard.'!AW126</f>
        <v>8130</v>
      </c>
      <c r="AR11" s="8">
        <f>+'4.1. Samtryggingard.'!AX126</f>
        <v>0</v>
      </c>
      <c r="AS11" s="8">
        <f>+'4.1. Samtryggingard.'!AY126</f>
        <v>-13503.224</v>
      </c>
      <c r="AT11" s="8">
        <f>+'4.1. Samtryggingard.'!AZ126</f>
        <v>14133</v>
      </c>
      <c r="AU11" s="8">
        <f>+'4.1. Samtryggingard.'!BA126</f>
        <v>13374</v>
      </c>
      <c r="AV11" s="8">
        <f>+'4.1. Samtryggingard.'!BB126</f>
        <v>0</v>
      </c>
      <c r="AW11" s="8">
        <f>+'4.1. Samtryggingard.'!BC126</f>
        <v>2352</v>
      </c>
      <c r="AX11" s="8"/>
      <c r="AY11" s="7">
        <f t="shared" si="0"/>
        <v>66193716.431104</v>
      </c>
      <c r="AZ11" s="7"/>
      <c r="BA11" s="7"/>
      <c r="BB11" s="8"/>
    </row>
    <row r="12" spans="1:54" ht="12.75">
      <c r="A12" s="10" t="s">
        <v>323</v>
      </c>
      <c r="B12" s="8">
        <f>+'4.1. Samtryggingard.'!B127+'4.1. Samtryggingard.'!C127+'5.1. Séreignard.'!B131+'5.1. Séreignard.'!C131+'5.1. Séreignard.'!D131</f>
        <v>47911800</v>
      </c>
      <c r="C12" s="126">
        <f>+'4.1. Samtryggingard.'!D127+'5.1. Séreignard.'!E131</f>
        <v>10799051</v>
      </c>
      <c r="D12" s="79">
        <f>+'4.1. Samtryggingard.'!E127+'5.1. Séreignard.'!F131+'5.1. Séreignard.'!G131</f>
        <v>14020557.125</v>
      </c>
      <c r="E12" s="79">
        <f>+'4.1. Samtryggingard.'!F127+'5.1. Séreignard.'!H131+'5.1. Séreignard.'!I131+'5.1. Séreignard.'!J131</f>
        <v>12072007</v>
      </c>
      <c r="F12" s="79">
        <f>+'4.1. Samtryggingard.'!G127+'4.1. Samtryggingard.'!H127+'5.1. Séreignard.'!K131+'5.1. Séreignard.'!L131</f>
        <v>6735060</v>
      </c>
      <c r="G12" s="8">
        <f>+'4.1. Samtryggingard.'!I127+'5.1. Séreignard.'!M131+'5.1. Séreignard.'!N131</f>
        <v>8581763</v>
      </c>
      <c r="H12" s="8">
        <f>+'4.1. Samtryggingard.'!J127+'5.1. Séreignard.'!O131+'5.1. Séreignard.'!P131+'5.1. Séreignard.'!Q131</f>
        <v>9952086</v>
      </c>
      <c r="I12" s="8">
        <f>+'4.1. Samtryggingard.'!K127+'5.1. Séreignard.'!R131</f>
        <v>292353</v>
      </c>
      <c r="J12" s="8">
        <f>+'4.1. Samtryggingard.'!L127+'5.1. Séreignard.'!S131+'5.1. Séreignard.'!T131+'5.1. Séreignard.'!U131+'5.1. Séreignard.'!V131</f>
        <v>8824973.082</v>
      </c>
      <c r="K12" s="8">
        <f>+'4.1. Samtryggingard.'!M127+'5.1. Séreignard.'!W131+'5.1. Séreignard.'!X131</f>
        <v>1733480</v>
      </c>
      <c r="L12" s="8">
        <f>+'4.1. Samtryggingard.'!N127+'4.1. Samtryggingard.'!O127</f>
        <v>10648895</v>
      </c>
      <c r="M12" s="8">
        <f>+'4.1. Samtryggingard.'!P127+'4.1. Samtryggingard.'!Q127+'5.1. Séreignard.'!Y131</f>
        <v>4200379</v>
      </c>
      <c r="N12" s="79">
        <f>+'4.1. Samtryggingard.'!R127</f>
        <v>2311412</v>
      </c>
      <c r="O12" s="8">
        <f>+'4.1. Samtryggingard.'!S127+'5.1. Séreignard.'!Z131</f>
        <v>2763435</v>
      </c>
      <c r="P12" s="8">
        <f>+'4.1. Samtryggingard.'!T127+'5.1. Séreignard.'!AA131</f>
        <v>2810132.738</v>
      </c>
      <c r="Q12" s="8">
        <f>+'4.1. Samtryggingard.'!U127+'5.1. Séreignard.'!AB131</f>
        <v>100000</v>
      </c>
      <c r="R12" s="79">
        <f>+'4.1. Samtryggingard.'!V127</f>
        <v>5618560</v>
      </c>
      <c r="S12" s="79">
        <f>+'4.1. Samtryggingard.'!W127</f>
        <v>12936367</v>
      </c>
      <c r="T12" s="79">
        <f>+'4.1. Samtryggingard.'!X127+'5.1. Séreignard.'!AC131+'5.1. Séreignard.'!AD131</f>
        <v>2380008</v>
      </c>
      <c r="U12" s="79">
        <f>+'4.1. Samtryggingard.'!Y127</f>
        <v>5042297.478</v>
      </c>
      <c r="V12" s="8">
        <f>+'4.1. Samtryggingard.'!Z127+'4.1. Samtryggingard.'!AA127+'5.1. Séreignard.'!AE131+'5.1. Séreignard.'!AF131+'5.1. Séreignard.'!AG131</f>
        <v>1368284.512</v>
      </c>
      <c r="W12" s="8">
        <f>+'4.1. Samtryggingard.'!AB127+'5.1. Séreignard.'!AH131</f>
        <v>850670</v>
      </c>
      <c r="X12" s="79">
        <f>+'4.1. Samtryggingard.'!AC127</f>
        <v>163021.459</v>
      </c>
      <c r="Y12" s="8">
        <f>+'4.1. Samtryggingard.'!AD127+'5.1. Séreignard.'!AI131+'5.1. Séreignard.'!AJ131+'5.1. Séreignard.'!AK131+'5.1. Séreignard.'!AL131</f>
        <v>4656437.138</v>
      </c>
      <c r="Z12" s="79">
        <f>+'4.1. Samtryggingard.'!AE127</f>
        <v>3621206</v>
      </c>
      <c r="AA12" s="8">
        <f>+'4.1. Samtryggingard.'!AF127</f>
        <v>1008649.98</v>
      </c>
      <c r="AB12" s="8">
        <f>+'4.1. Samtryggingard.'!AG127</f>
        <v>1801374</v>
      </c>
      <c r="AC12" s="8">
        <f>+'4.1. Samtryggingard.'!AH127</f>
        <v>540515.5</v>
      </c>
      <c r="AD12" s="8">
        <f>+'4.1. Samtryggingard.'!AI127+'4.1. Samtryggingard.'!AJ127</f>
        <v>1594681</v>
      </c>
      <c r="AE12" s="8">
        <f>+'4.1. Samtryggingard.'!AK127+'5.1. Séreignard.'!AM131</f>
        <v>0</v>
      </c>
      <c r="AF12" s="79">
        <f>+'4.1. Samtryggingard.'!AL127</f>
        <v>525238</v>
      </c>
      <c r="AG12" s="79">
        <f>+'4.1. Samtryggingard.'!AM127</f>
        <v>1789702</v>
      </c>
      <c r="AH12" s="79">
        <f>+'4.1. Samtryggingard.'!AN127+'5.1. Séreignard.'!AN131</f>
        <v>1591771</v>
      </c>
      <c r="AI12" s="79">
        <f>+'4.1. Samtryggingard.'!AO127</f>
        <v>369784</v>
      </c>
      <c r="AJ12" s="8">
        <f>+'4.1. Samtryggingard.'!AP127</f>
        <v>1660.318</v>
      </c>
      <c r="AK12" s="8">
        <f>+'4.1. Samtryggingard.'!AQ127</f>
        <v>879216</v>
      </c>
      <c r="AL12" s="8">
        <f>+'4.1. Samtryggingard.'!AR127</f>
        <v>86596</v>
      </c>
      <c r="AM12" s="8">
        <f>+'4.1. Samtryggingard.'!AS127</f>
        <v>30019</v>
      </c>
      <c r="AN12" s="8">
        <f>+'4.1. Samtryggingard.'!AT127</f>
        <v>481523</v>
      </c>
      <c r="AO12" s="8">
        <f>+'4.1. Samtryggingard.'!AU127</f>
        <v>1319.919</v>
      </c>
      <c r="AP12" s="8">
        <f>+'4.1. Samtryggingard.'!AV127</f>
        <v>92356</v>
      </c>
      <c r="AQ12" s="8">
        <f>+'4.1. Samtryggingard.'!AW127</f>
        <v>323538</v>
      </c>
      <c r="AR12" s="8">
        <f>+'4.1. Samtryggingard.'!AX127</f>
        <v>0</v>
      </c>
      <c r="AS12" s="8">
        <f>+'4.1. Samtryggingard.'!AY127</f>
        <v>-17686.309</v>
      </c>
      <c r="AT12" s="8">
        <f>+'4.1. Samtryggingard.'!AZ127</f>
        <v>11263</v>
      </c>
      <c r="AU12" s="8">
        <f>+'4.1. Samtryggingard.'!BA127</f>
        <v>0</v>
      </c>
      <c r="AV12" s="8">
        <f>+'4.1. Samtryggingard.'!BB127</f>
        <v>0</v>
      </c>
      <c r="AW12" s="8">
        <f>+'4.1. Samtryggingard.'!BC127</f>
        <v>0</v>
      </c>
      <c r="AX12" s="8"/>
      <c r="AY12" s="7">
        <f t="shared" si="0"/>
        <v>191505755.94000003</v>
      </c>
      <c r="AZ12" s="7"/>
      <c r="BA12" s="7"/>
      <c r="BB12" s="8"/>
    </row>
    <row r="13" spans="1:54" ht="12.75">
      <c r="A13" s="10" t="s">
        <v>324</v>
      </c>
      <c r="B13" s="8">
        <f>+'4.1. Samtryggingard.'!B128+'4.1. Samtryggingard.'!C128+'5.1. Séreignard.'!B132+'5.1. Séreignard.'!C132+'5.1. Séreignard.'!D132</f>
        <v>35067691</v>
      </c>
      <c r="C13" s="126">
        <f>+'4.1. Samtryggingard.'!D128+'5.1. Séreignard.'!E132</f>
        <v>9749894</v>
      </c>
      <c r="D13" s="79">
        <f>+'4.1. Samtryggingard.'!E128+'5.1. Séreignard.'!F132+'5.1. Séreignard.'!G132</f>
        <v>12660348.768</v>
      </c>
      <c r="E13" s="79">
        <f>+'4.1. Samtryggingard.'!F128+'5.1. Séreignard.'!H132+'5.1. Séreignard.'!I132+'5.1. Séreignard.'!J132</f>
        <v>156850</v>
      </c>
      <c r="F13" s="79">
        <f>+'4.1. Samtryggingard.'!G128+'4.1. Samtryggingard.'!H128+'5.1. Séreignard.'!K132+'5.1. Séreignard.'!L132</f>
        <v>10504247</v>
      </c>
      <c r="G13" s="8">
        <f>+'4.1. Samtryggingard.'!I128+'5.1. Séreignard.'!M132+'5.1. Séreignard.'!N132</f>
        <v>14747926</v>
      </c>
      <c r="H13" s="8">
        <f>+'4.1. Samtryggingard.'!J128+'5.1. Séreignard.'!O132+'5.1. Séreignard.'!P132+'5.1. Séreignard.'!Q132</f>
        <v>6055478.5</v>
      </c>
      <c r="I13" s="8">
        <f>+'4.1. Samtryggingard.'!K128+'5.1. Séreignard.'!R132</f>
        <v>361779</v>
      </c>
      <c r="J13" s="8">
        <f>+'4.1. Samtryggingard.'!L128+'5.1. Séreignard.'!S132+'5.1. Séreignard.'!T132+'5.1. Séreignard.'!U132+'5.1. Séreignard.'!V132</f>
        <v>689666.413396</v>
      </c>
      <c r="K13" s="8">
        <f>+'4.1. Samtryggingard.'!M128+'5.1. Séreignard.'!W132+'5.1. Séreignard.'!X132</f>
        <v>869955</v>
      </c>
      <c r="L13" s="8">
        <f>+'4.1. Samtryggingard.'!N128+'4.1. Samtryggingard.'!O128</f>
        <v>1380339</v>
      </c>
      <c r="M13" s="8">
        <f>+'4.1. Samtryggingard.'!P128+'4.1. Samtryggingard.'!Q128+'5.1. Séreignard.'!Y132</f>
        <v>0</v>
      </c>
      <c r="N13" s="79">
        <f>+'4.1. Samtryggingard.'!R128</f>
        <v>492619</v>
      </c>
      <c r="O13" s="8">
        <f>+'4.1. Samtryggingard.'!S128+'5.1. Séreignard.'!Z132</f>
        <v>3168334</v>
      </c>
      <c r="P13" s="8">
        <f>+'4.1. Samtryggingard.'!T128+'5.1. Séreignard.'!AA132</f>
        <v>3461144.09</v>
      </c>
      <c r="Q13" s="8">
        <f>+'4.1. Samtryggingard.'!U128+'5.1. Séreignard.'!AB132</f>
        <v>396700</v>
      </c>
      <c r="R13" s="79">
        <f>+'4.1. Samtryggingard.'!V128</f>
        <v>2307829</v>
      </c>
      <c r="S13" s="79">
        <f>+'4.1. Samtryggingard.'!W128</f>
        <v>446987</v>
      </c>
      <c r="T13" s="79">
        <f>+'4.1. Samtryggingard.'!X128+'5.1. Séreignard.'!AC132+'5.1. Séreignard.'!AD132</f>
        <v>2548596</v>
      </c>
      <c r="U13" s="79">
        <f>+'4.1. Samtryggingard.'!Y128</f>
        <v>864240.791</v>
      </c>
      <c r="V13" s="8">
        <f>+'4.1. Samtryggingard.'!Z128+'4.1. Samtryggingard.'!AA128+'5.1. Séreignard.'!AE132+'5.1. Séreignard.'!AF132+'5.1. Séreignard.'!AG132</f>
        <v>1569721.4780000001</v>
      </c>
      <c r="W13" s="8">
        <f>+'4.1. Samtryggingard.'!AB128+'5.1. Séreignard.'!AH132</f>
        <v>2156031</v>
      </c>
      <c r="X13" s="79">
        <f>+'4.1. Samtryggingard.'!AC128</f>
        <v>129510.925</v>
      </c>
      <c r="Y13" s="8">
        <f>+'4.1. Samtryggingard.'!AD128+'5.1. Séreignard.'!AI132+'5.1. Séreignard.'!AJ132+'5.1. Séreignard.'!AK132+'5.1. Séreignard.'!AL132</f>
        <v>0</v>
      </c>
      <c r="Z13" s="79">
        <f>+'4.1. Samtryggingard.'!AE128</f>
        <v>789672</v>
      </c>
      <c r="AA13" s="8">
        <f>+'4.1. Samtryggingard.'!AF128</f>
        <v>243177.534</v>
      </c>
      <c r="AB13" s="8">
        <f>+'4.1. Samtryggingard.'!AG128</f>
        <v>1840912</v>
      </c>
      <c r="AC13" s="8">
        <f>+'4.1. Samtryggingard.'!AH128</f>
        <v>17250.5</v>
      </c>
      <c r="AD13" s="8">
        <f>+'4.1. Samtryggingard.'!AI128+'4.1. Samtryggingard.'!AJ128</f>
        <v>711473</v>
      </c>
      <c r="AE13" s="8">
        <f>+'4.1. Samtryggingard.'!AK128+'5.1. Séreignard.'!AM132</f>
        <v>0</v>
      </c>
      <c r="AF13" s="79">
        <f>+'4.1. Samtryggingard.'!AL128</f>
        <v>261136</v>
      </c>
      <c r="AG13" s="79">
        <f>+'4.1. Samtryggingard.'!AM128</f>
        <v>225666</v>
      </c>
      <c r="AH13" s="79">
        <f>+'4.1. Samtryggingard.'!AN128+'5.1. Séreignard.'!AN132</f>
        <v>0</v>
      </c>
      <c r="AI13" s="79">
        <f>+'4.1. Samtryggingard.'!AO128</f>
        <v>0</v>
      </c>
      <c r="AJ13" s="8">
        <f>+'4.1. Samtryggingard.'!AP128</f>
        <v>46767.47</v>
      </c>
      <c r="AK13" s="8">
        <f>+'4.1. Samtryggingard.'!AQ128</f>
        <v>33176</v>
      </c>
      <c r="AL13" s="8">
        <f>+'4.1. Samtryggingard.'!AR128</f>
        <v>178733</v>
      </c>
      <c r="AM13" s="8">
        <f>+'4.1. Samtryggingard.'!AS128</f>
        <v>554067</v>
      </c>
      <c r="AN13" s="8">
        <f>+'4.1. Samtryggingard.'!AT128</f>
        <v>24995</v>
      </c>
      <c r="AO13" s="8">
        <f>+'4.1. Samtryggingard.'!AU128</f>
        <v>22701.535</v>
      </c>
      <c r="AP13" s="8">
        <f>+'4.1. Samtryggingard.'!AV128</f>
        <v>0</v>
      </c>
      <c r="AQ13" s="8">
        <f>+'4.1. Samtryggingard.'!AW128</f>
        <v>0</v>
      </c>
      <c r="AR13" s="8">
        <f>+'4.1. Samtryggingard.'!AX128</f>
        <v>0</v>
      </c>
      <c r="AS13" s="8">
        <f>+'4.1. Samtryggingard.'!AY128</f>
        <v>46671.31</v>
      </c>
      <c r="AT13" s="8">
        <f>+'4.1. Samtryggingard.'!AZ128</f>
        <v>32505</v>
      </c>
      <c r="AU13" s="8">
        <f>+'4.1. Samtryggingard.'!BA128</f>
        <v>0</v>
      </c>
      <c r="AV13" s="8">
        <f>+'4.1. Samtryggingard.'!BB128</f>
        <v>0</v>
      </c>
      <c r="AW13" s="8">
        <f>+'4.1. Samtryggingard.'!BC128</f>
        <v>0</v>
      </c>
      <c r="AX13" s="8"/>
      <c r="AY13" s="7">
        <f t="shared" si="0"/>
        <v>114814791.314396</v>
      </c>
      <c r="AZ13" s="7"/>
      <c r="BA13" s="7"/>
      <c r="BB13" s="8"/>
    </row>
    <row r="14" spans="1:54" ht="12.75">
      <c r="A14" s="10" t="s">
        <v>325</v>
      </c>
      <c r="B14" s="8">
        <f>+'4.1. Samtryggingard.'!B129+'4.1. Samtryggingard.'!C129+'5.1. Séreignard.'!B133+'5.1. Séreignard.'!C133+'5.1. Séreignard.'!D133</f>
        <v>184570</v>
      </c>
      <c r="C14" s="126">
        <f>+'4.1. Samtryggingard.'!D129+'5.1. Séreignard.'!E133</f>
        <v>0</v>
      </c>
      <c r="D14" s="79">
        <f>+'4.1. Samtryggingard.'!E129+'5.1. Séreignard.'!F133+'5.1. Séreignard.'!G133</f>
        <v>0</v>
      </c>
      <c r="E14" s="79">
        <f>+'4.1. Samtryggingard.'!F129+'5.1. Séreignard.'!H133+'5.1. Séreignard.'!I133+'5.1. Séreignard.'!J133</f>
        <v>0</v>
      </c>
      <c r="F14" s="79">
        <f>+'4.1. Samtryggingard.'!G129+'4.1. Samtryggingard.'!H129+'5.1. Séreignard.'!K133+'5.1. Séreignard.'!L133</f>
        <v>0</v>
      </c>
      <c r="G14" s="8">
        <f>+'4.1. Samtryggingard.'!I129+'5.1. Séreignard.'!M133+'5.1. Séreignard.'!N133</f>
        <v>218225</v>
      </c>
      <c r="H14" s="8">
        <f>+'4.1. Samtryggingard.'!J129+'5.1. Séreignard.'!O133+'5.1. Séreignard.'!P133+'5.1. Séreignard.'!Q133</f>
        <v>0</v>
      </c>
      <c r="I14" s="8">
        <f>+'4.1. Samtryggingard.'!K129+'5.1. Séreignard.'!R133</f>
        <v>0</v>
      </c>
      <c r="J14" s="8">
        <f>+'4.1. Samtryggingard.'!L129+'5.1. Séreignard.'!S133+'5.1. Séreignard.'!T133+'5.1. Séreignard.'!U133+'5.1. Séreignard.'!V133</f>
        <v>0</v>
      </c>
      <c r="K14" s="8">
        <f>+'4.1. Samtryggingard.'!M129+'5.1. Séreignard.'!W133+'5.1. Séreignard.'!X133</f>
        <v>0</v>
      </c>
      <c r="L14" s="8">
        <f>+'4.1. Samtryggingard.'!N129+'4.1. Samtryggingard.'!O129</f>
        <v>0</v>
      </c>
      <c r="M14" s="8">
        <f>+'4.1. Samtryggingard.'!P129+'4.1. Samtryggingard.'!Q129+'5.1. Séreignard.'!Y133</f>
        <v>0</v>
      </c>
      <c r="N14" s="79">
        <f>+'4.1. Samtryggingard.'!R129</f>
        <v>0</v>
      </c>
      <c r="O14" s="8">
        <f>+'4.1. Samtryggingard.'!S129+'5.1. Séreignard.'!Z133</f>
        <v>0</v>
      </c>
      <c r="P14" s="8">
        <f>+'4.1. Samtryggingard.'!T129+'5.1. Séreignard.'!AA133</f>
        <v>0</v>
      </c>
      <c r="Q14" s="8">
        <f>+'4.1. Samtryggingard.'!U129+'5.1. Séreignard.'!AB133</f>
        <v>217703.384</v>
      </c>
      <c r="R14" s="79">
        <f>+'4.1. Samtryggingard.'!V129</f>
        <v>0</v>
      </c>
      <c r="S14" s="79">
        <f>+'4.1. Samtryggingard.'!W129</f>
        <v>100000</v>
      </c>
      <c r="T14" s="79">
        <f>+'4.1. Samtryggingard.'!X129+'5.1. Séreignard.'!AC133+'5.1. Séreignard.'!AD133</f>
        <v>354411</v>
      </c>
      <c r="U14" s="79">
        <f>+'4.1. Samtryggingard.'!Y129</f>
        <v>97084.529</v>
      </c>
      <c r="V14" s="8">
        <f>+'4.1. Samtryggingard.'!Z129+'4.1. Samtryggingard.'!AA129+'5.1. Séreignard.'!AE133+'5.1. Séreignard.'!AF133+'5.1. Séreignard.'!AG133</f>
        <v>0</v>
      </c>
      <c r="W14" s="8">
        <f>+'4.1. Samtryggingard.'!AB129+'5.1. Séreignard.'!AH133</f>
        <v>0</v>
      </c>
      <c r="X14" s="79">
        <f>+'4.1. Samtryggingard.'!AC129</f>
        <v>0</v>
      </c>
      <c r="Y14" s="8">
        <f>+'4.1. Samtryggingard.'!AD129+'5.1. Séreignard.'!AI133+'5.1. Séreignard.'!AJ133+'5.1. Séreignard.'!AK133+'5.1. Séreignard.'!AL133</f>
        <v>0</v>
      </c>
      <c r="Z14" s="79">
        <f>+'4.1. Samtryggingard.'!AE129</f>
        <v>0</v>
      </c>
      <c r="AA14" s="8">
        <f>+'4.1. Samtryggingard.'!AF129</f>
        <v>0</v>
      </c>
      <c r="AB14" s="8">
        <f>+'4.1. Samtryggingard.'!AG129</f>
        <v>-5239</v>
      </c>
      <c r="AC14" s="8">
        <f>+'4.1. Samtryggingard.'!AH129</f>
        <v>0</v>
      </c>
      <c r="AD14" s="8">
        <f>+'4.1. Samtryggingard.'!AI129+'4.1. Samtryggingard.'!AJ129</f>
        <v>0</v>
      </c>
      <c r="AE14" s="8">
        <f>+'4.1. Samtryggingard.'!AK129+'5.1. Séreignard.'!AM133</f>
        <v>0</v>
      </c>
      <c r="AF14" s="79">
        <f>+'4.1. Samtryggingard.'!AL129</f>
        <v>285274</v>
      </c>
      <c r="AG14" s="79">
        <f>+'4.1. Samtryggingard.'!AM129</f>
        <v>0</v>
      </c>
      <c r="AH14" s="79">
        <f>+'4.1. Samtryggingard.'!AN129+'5.1. Séreignard.'!AN133</f>
        <v>0</v>
      </c>
      <c r="AI14" s="79">
        <f>+'4.1. Samtryggingard.'!AO129</f>
        <v>0</v>
      </c>
      <c r="AJ14" s="8">
        <f>+'4.1. Samtryggingard.'!AP129</f>
        <v>21542.959</v>
      </c>
      <c r="AK14" s="8">
        <f>+'4.1. Samtryggingard.'!AQ129</f>
        <v>0</v>
      </c>
      <c r="AL14" s="8">
        <f>+'4.1. Samtryggingard.'!AR129</f>
        <v>0</v>
      </c>
      <c r="AM14" s="8">
        <f>+'4.1. Samtryggingard.'!AS129</f>
        <v>0</v>
      </c>
      <c r="AN14" s="8">
        <f>+'4.1. Samtryggingard.'!AT129</f>
        <v>0</v>
      </c>
      <c r="AO14" s="8">
        <f>+'4.1. Samtryggingard.'!AU129</f>
        <v>0</v>
      </c>
      <c r="AP14" s="8">
        <f>+'4.1. Samtryggingard.'!AV129</f>
        <v>0</v>
      </c>
      <c r="AQ14" s="8">
        <f>+'4.1. Samtryggingard.'!AW129</f>
        <v>0</v>
      </c>
      <c r="AR14" s="8">
        <f>+'4.1. Samtryggingard.'!AX129</f>
        <v>0</v>
      </c>
      <c r="AS14" s="8">
        <f>+'4.1. Samtryggingard.'!AY129</f>
        <v>0</v>
      </c>
      <c r="AT14" s="8">
        <f>+'4.1. Samtryggingard.'!AZ129</f>
        <v>0</v>
      </c>
      <c r="AU14" s="8">
        <f>+'4.1. Samtryggingard.'!BA129</f>
        <v>0</v>
      </c>
      <c r="AV14" s="8">
        <f>+'4.1. Samtryggingard.'!BB129</f>
        <v>0</v>
      </c>
      <c r="AW14" s="8">
        <f>+'4.1. Samtryggingard.'!BC129</f>
        <v>0</v>
      </c>
      <c r="AX14" s="8"/>
      <c r="AY14" s="7">
        <f t="shared" si="0"/>
        <v>1473571.8720000002</v>
      </c>
      <c r="AZ14" s="7"/>
      <c r="BA14" s="7"/>
      <c r="BB14" s="8"/>
    </row>
    <row r="15" spans="1:54" ht="12.75">
      <c r="A15" s="10" t="s">
        <v>326</v>
      </c>
      <c r="B15" s="8">
        <f>+'4.1. Samtryggingard.'!B130+'4.1. Samtryggingard.'!C130+'5.1. Séreignard.'!B134+'5.1. Séreignard.'!C134+'5.1. Séreignard.'!D134</f>
        <v>0</v>
      </c>
      <c r="C15" s="126">
        <f>+'4.1. Samtryggingard.'!D130+'5.1. Séreignard.'!E134</f>
        <v>0</v>
      </c>
      <c r="D15" s="79">
        <f>+'4.1. Samtryggingard.'!E130+'5.1. Séreignard.'!F134+'5.1. Séreignard.'!G134</f>
        <v>0</v>
      </c>
      <c r="E15" s="79">
        <f>+'4.1. Samtryggingard.'!F130+'5.1. Séreignard.'!H134+'5.1. Séreignard.'!I134+'5.1. Séreignard.'!J134</f>
        <v>0</v>
      </c>
      <c r="F15" s="79">
        <f>+'4.1. Samtryggingard.'!G130+'4.1. Samtryggingard.'!H130+'5.1. Séreignard.'!K134+'5.1. Séreignard.'!L134</f>
        <v>0</v>
      </c>
      <c r="G15" s="8">
        <f>+'4.1. Samtryggingard.'!I130+'5.1. Séreignard.'!M134+'5.1. Séreignard.'!N134</f>
        <v>80929</v>
      </c>
      <c r="H15" s="8">
        <f>+'4.1. Samtryggingard.'!J130+'5.1. Séreignard.'!O134+'5.1. Séreignard.'!P134+'5.1. Séreignard.'!Q134</f>
        <v>0</v>
      </c>
      <c r="I15" s="8">
        <f>+'4.1. Samtryggingard.'!K130+'5.1. Séreignard.'!R134</f>
        <v>0</v>
      </c>
      <c r="J15" s="8">
        <f>+'4.1. Samtryggingard.'!L130+'5.1. Séreignard.'!S134+'5.1. Séreignard.'!T134+'5.1. Séreignard.'!U134+'5.1. Séreignard.'!V134</f>
        <v>0</v>
      </c>
      <c r="K15" s="8">
        <f>+'4.1. Samtryggingard.'!M130+'5.1. Séreignard.'!W134+'5.1. Séreignard.'!X134</f>
        <v>126476</v>
      </c>
      <c r="L15" s="8">
        <f>+'4.1. Samtryggingard.'!N130+'4.1. Samtryggingard.'!O130</f>
        <v>0</v>
      </c>
      <c r="M15" s="8">
        <f>+'4.1. Samtryggingard.'!P130+'4.1. Samtryggingard.'!Q130+'5.1. Séreignard.'!Y134</f>
        <v>0</v>
      </c>
      <c r="N15" s="79">
        <f>+'4.1. Samtryggingard.'!R130</f>
        <v>0</v>
      </c>
      <c r="O15" s="8">
        <f>+'4.1. Samtryggingard.'!S130+'5.1. Séreignard.'!Z134</f>
        <v>17800</v>
      </c>
      <c r="P15" s="8">
        <f>+'4.1. Samtryggingard.'!T130+'5.1. Séreignard.'!AA134</f>
        <v>0</v>
      </c>
      <c r="Q15" s="8">
        <f>+'4.1. Samtryggingard.'!U130+'5.1. Séreignard.'!AB134</f>
        <v>0</v>
      </c>
      <c r="R15" s="79">
        <f>+'4.1. Samtryggingard.'!V130</f>
        <v>0</v>
      </c>
      <c r="S15" s="79">
        <f>+'4.1. Samtryggingard.'!W130</f>
        <v>11891</v>
      </c>
      <c r="T15" s="79">
        <f>+'4.1. Samtryggingard.'!X130+'5.1. Séreignard.'!AC134+'5.1. Séreignard.'!AD134</f>
        <v>0</v>
      </c>
      <c r="U15" s="79">
        <f>+'4.1. Samtryggingard.'!Y130</f>
        <v>0</v>
      </c>
      <c r="V15" s="8">
        <f>+'4.1. Samtryggingard.'!Z130+'4.1. Samtryggingard.'!AA130+'5.1. Séreignard.'!AE134+'5.1. Séreignard.'!AF134+'5.1. Séreignard.'!AG134</f>
        <v>0</v>
      </c>
      <c r="W15" s="8">
        <f>+'4.1. Samtryggingard.'!AB130+'5.1. Séreignard.'!AH134</f>
        <v>0</v>
      </c>
      <c r="X15" s="79">
        <f>+'4.1. Samtryggingard.'!AC130</f>
        <v>0</v>
      </c>
      <c r="Y15" s="8">
        <f>+'4.1. Samtryggingard.'!AD130+'5.1. Séreignard.'!AI134+'5.1. Séreignard.'!AJ134+'5.1. Séreignard.'!AK134+'5.1. Séreignard.'!AL134</f>
        <v>0</v>
      </c>
      <c r="Z15" s="79">
        <f>+'4.1. Samtryggingard.'!AE130</f>
        <v>0</v>
      </c>
      <c r="AA15" s="8">
        <f>+'4.1. Samtryggingard.'!AF130</f>
        <v>0</v>
      </c>
      <c r="AB15" s="8">
        <f>+'4.1. Samtryggingard.'!AG130</f>
        <v>0</v>
      </c>
      <c r="AC15" s="8">
        <f>+'4.1. Samtryggingard.'!AH130</f>
        <v>0</v>
      </c>
      <c r="AD15" s="8">
        <f>+'4.1. Samtryggingard.'!AI130+'4.1. Samtryggingard.'!AJ130</f>
        <v>0</v>
      </c>
      <c r="AE15" s="8">
        <f>+'4.1. Samtryggingard.'!AK130+'5.1. Séreignard.'!AM134</f>
        <v>0</v>
      </c>
      <c r="AF15" s="79">
        <f>+'4.1. Samtryggingard.'!AL130</f>
        <v>0</v>
      </c>
      <c r="AG15" s="79">
        <f>+'4.1. Samtryggingard.'!AM130</f>
        <v>0</v>
      </c>
      <c r="AH15" s="79">
        <f>+'4.1. Samtryggingard.'!AN130+'5.1. Séreignard.'!AN134</f>
        <v>0</v>
      </c>
      <c r="AI15" s="79">
        <f>+'4.1. Samtryggingard.'!AO130</f>
        <v>0</v>
      </c>
      <c r="AJ15" s="8">
        <f>+'4.1. Samtryggingard.'!AP130</f>
        <v>0</v>
      </c>
      <c r="AK15" s="8">
        <f>+'4.1. Samtryggingard.'!AQ130</f>
        <v>0</v>
      </c>
      <c r="AL15" s="8">
        <f>+'4.1. Samtryggingard.'!AR130</f>
        <v>0</v>
      </c>
      <c r="AM15" s="8">
        <f>+'4.1. Samtryggingard.'!AS130</f>
        <v>0</v>
      </c>
      <c r="AN15" s="8">
        <f>+'4.1. Samtryggingard.'!AT130</f>
        <v>0</v>
      </c>
      <c r="AO15" s="8">
        <f>+'4.1. Samtryggingard.'!AU130</f>
        <v>2694.891</v>
      </c>
      <c r="AP15" s="8">
        <f>+'4.1. Samtryggingard.'!AV130</f>
        <v>0</v>
      </c>
      <c r="AQ15" s="8">
        <f>+'4.1. Samtryggingard.'!AW130</f>
        <v>0</v>
      </c>
      <c r="AR15" s="8">
        <f>+'4.1. Samtryggingard.'!AX130</f>
        <v>0</v>
      </c>
      <c r="AS15" s="8">
        <f>+'4.1. Samtryggingard.'!AY130</f>
        <v>0</v>
      </c>
      <c r="AT15" s="8">
        <f>+'4.1. Samtryggingard.'!AZ130</f>
        <v>0</v>
      </c>
      <c r="AU15" s="8">
        <f>+'4.1. Samtryggingard.'!BA130</f>
        <v>0</v>
      </c>
      <c r="AV15" s="8">
        <f>+'4.1. Samtryggingard.'!BB130</f>
        <v>0</v>
      </c>
      <c r="AW15" s="8">
        <f>+'4.1. Samtryggingard.'!BC130</f>
        <v>0</v>
      </c>
      <c r="AX15" s="8"/>
      <c r="AY15" s="7">
        <f t="shared" si="0"/>
        <v>239790.891</v>
      </c>
      <c r="AZ15" s="7"/>
      <c r="BA15" s="7"/>
      <c r="BB15" s="8"/>
    </row>
    <row r="16" spans="1:54" ht="12.75">
      <c r="A16" s="10" t="s">
        <v>327</v>
      </c>
      <c r="B16" s="8">
        <f>+'4.1. Samtryggingard.'!B131+'4.1. Samtryggingard.'!C131+'5.1. Séreignard.'!B135+'5.1. Séreignard.'!C135+'5.1. Séreignard.'!D135</f>
        <v>0</v>
      </c>
      <c r="C16" s="126">
        <f>+'4.1. Samtryggingard.'!D131+'5.1. Séreignard.'!E135</f>
        <v>117780</v>
      </c>
      <c r="D16" s="79">
        <f>+'4.1. Samtryggingard.'!E131+'5.1. Séreignard.'!F135+'5.1. Séreignard.'!G135</f>
        <v>0</v>
      </c>
      <c r="E16" s="79">
        <f>+'4.1. Samtryggingard.'!F131+'5.1. Séreignard.'!H135+'5.1. Séreignard.'!I135+'5.1. Séreignard.'!J135</f>
        <v>0</v>
      </c>
      <c r="F16" s="79">
        <f>+'4.1. Samtryggingard.'!G131+'4.1. Samtryggingard.'!H131+'5.1. Séreignard.'!K135+'5.1. Séreignard.'!L135</f>
        <v>496420</v>
      </c>
      <c r="G16" s="8">
        <f>+'4.1. Samtryggingard.'!I131+'5.1. Séreignard.'!M135+'5.1. Séreignard.'!N135</f>
        <v>-58929</v>
      </c>
      <c r="H16" s="8">
        <f>+'4.1. Samtryggingard.'!J131+'5.1. Séreignard.'!O135+'5.1. Séreignard.'!P135+'5.1. Séreignard.'!Q135</f>
        <v>0</v>
      </c>
      <c r="I16" s="8">
        <f>+'4.1. Samtryggingard.'!K131+'5.1. Séreignard.'!R135</f>
        <v>0</v>
      </c>
      <c r="J16" s="8">
        <f>+'4.1. Samtryggingard.'!L131+'5.1. Séreignard.'!S135+'5.1. Séreignard.'!T135+'5.1. Séreignard.'!U135+'5.1. Séreignard.'!V135</f>
        <v>1402.6</v>
      </c>
      <c r="K16" s="8">
        <f>+'4.1. Samtryggingard.'!M131+'5.1. Séreignard.'!W135+'5.1. Séreignard.'!X135</f>
        <v>7226</v>
      </c>
      <c r="L16" s="8">
        <f>+'4.1. Samtryggingard.'!N131+'4.1. Samtryggingard.'!O131</f>
        <v>23471</v>
      </c>
      <c r="M16" s="8">
        <f>+'4.1. Samtryggingard.'!P131+'4.1. Samtryggingard.'!Q131+'5.1. Séreignard.'!Y135</f>
        <v>23637</v>
      </c>
      <c r="N16" s="79">
        <f>+'4.1. Samtryggingard.'!R131</f>
        <v>9514</v>
      </c>
      <c r="O16" s="8">
        <f>+'4.1. Samtryggingard.'!S131+'5.1. Séreignard.'!Z135</f>
        <v>2144</v>
      </c>
      <c r="P16" s="8">
        <f>+'4.1. Samtryggingard.'!T131+'5.1. Séreignard.'!AA135</f>
        <v>0</v>
      </c>
      <c r="Q16" s="8">
        <f>+'4.1. Samtryggingard.'!U131+'5.1. Séreignard.'!AB135</f>
        <v>35521.744</v>
      </c>
      <c r="R16" s="79">
        <f>+'4.1. Samtryggingard.'!V131</f>
        <v>0</v>
      </c>
      <c r="S16" s="79">
        <f>+'4.1. Samtryggingard.'!W131</f>
        <v>0</v>
      </c>
      <c r="T16" s="79">
        <f>+'4.1. Samtryggingard.'!X131+'5.1. Séreignard.'!AC135+'5.1. Séreignard.'!AD135</f>
        <v>0</v>
      </c>
      <c r="U16" s="79">
        <f>+'4.1. Samtryggingard.'!Y131</f>
        <v>0</v>
      </c>
      <c r="V16" s="8">
        <f>+'4.1. Samtryggingard.'!Z131+'4.1. Samtryggingard.'!AA131+'5.1. Séreignard.'!AE135+'5.1. Séreignard.'!AF135+'5.1. Séreignard.'!AG135</f>
        <v>6263.279</v>
      </c>
      <c r="W16" s="8">
        <f>+'4.1. Samtryggingard.'!AB131+'5.1. Séreignard.'!AH135</f>
        <v>609</v>
      </c>
      <c r="X16" s="79">
        <f>+'4.1. Samtryggingard.'!AC131</f>
        <v>0</v>
      </c>
      <c r="Y16" s="8">
        <f>+'4.1. Samtryggingard.'!AD131+'5.1. Séreignard.'!AI135+'5.1. Séreignard.'!AJ135+'5.1. Séreignard.'!AK135+'5.1. Séreignard.'!AL135</f>
        <v>0</v>
      </c>
      <c r="Z16" s="79">
        <f>+'4.1. Samtryggingard.'!AE131</f>
        <v>5411</v>
      </c>
      <c r="AA16" s="8">
        <f>+'4.1. Samtryggingard.'!AF131</f>
        <v>0</v>
      </c>
      <c r="AB16" s="8">
        <f>+'4.1. Samtryggingard.'!AG131</f>
        <v>0</v>
      </c>
      <c r="AC16" s="8">
        <f>+'4.1. Samtryggingard.'!AH131</f>
        <v>0</v>
      </c>
      <c r="AD16" s="8">
        <f>+'4.1. Samtryggingard.'!AI131+'4.1. Samtryggingard.'!AJ131</f>
        <v>0</v>
      </c>
      <c r="AE16" s="8">
        <f>+'4.1. Samtryggingard.'!AK131+'5.1. Séreignard.'!AM135</f>
        <v>0</v>
      </c>
      <c r="AF16" s="79">
        <f>+'4.1. Samtryggingard.'!AL131</f>
        <v>0</v>
      </c>
      <c r="AG16" s="79">
        <f>+'4.1. Samtryggingard.'!AM131</f>
        <v>0</v>
      </c>
      <c r="AH16" s="79">
        <f>+'4.1. Samtryggingard.'!AN131+'5.1. Séreignard.'!AN135</f>
        <v>197</v>
      </c>
      <c r="AI16" s="79">
        <f>+'4.1. Samtryggingard.'!AO131</f>
        <v>841</v>
      </c>
      <c r="AJ16" s="8">
        <f>+'4.1. Samtryggingard.'!AP131</f>
        <v>1520.629</v>
      </c>
      <c r="AK16" s="8">
        <f>+'4.1. Samtryggingard.'!AQ131</f>
        <v>0</v>
      </c>
      <c r="AL16" s="8">
        <f>+'4.1. Samtryggingard.'!AR131</f>
        <v>1965</v>
      </c>
      <c r="AM16" s="8">
        <f>+'4.1. Samtryggingard.'!AS131</f>
        <v>0</v>
      </c>
      <c r="AN16" s="8">
        <f>+'4.1. Samtryggingard.'!AT131</f>
        <v>0</v>
      </c>
      <c r="AO16" s="8">
        <f>+'4.1. Samtryggingard.'!AU131</f>
        <v>930.794</v>
      </c>
      <c r="AP16" s="8">
        <f>+'4.1. Samtryggingard.'!AV131</f>
        <v>0</v>
      </c>
      <c r="AQ16" s="8">
        <f>+'4.1. Samtryggingard.'!AW131</f>
        <v>2528</v>
      </c>
      <c r="AR16" s="8">
        <f>+'4.1. Samtryggingard.'!AX131</f>
        <v>0</v>
      </c>
      <c r="AS16" s="8">
        <f>+'4.1. Samtryggingard.'!AY131</f>
        <v>0</v>
      </c>
      <c r="AT16" s="8">
        <f>+'4.1. Samtryggingard.'!AZ131</f>
        <v>1000</v>
      </c>
      <c r="AU16" s="8">
        <f>+'4.1. Samtryggingard.'!BA131</f>
        <v>1661</v>
      </c>
      <c r="AV16" s="8">
        <f>+'4.1. Samtryggingard.'!BB131</f>
        <v>0</v>
      </c>
      <c r="AW16" s="8">
        <f>+'4.1. Samtryggingard.'!BC131</f>
        <v>28827</v>
      </c>
      <c r="AX16" s="8"/>
      <c r="AY16" s="7">
        <f t="shared" si="0"/>
        <v>709941.0459999999</v>
      </c>
      <c r="AZ16" s="7"/>
      <c r="BA16" s="7"/>
      <c r="BB16" s="8"/>
    </row>
    <row r="17" spans="1:54" ht="12.75">
      <c r="A17" s="218" t="s">
        <v>328</v>
      </c>
      <c r="B17" s="7">
        <f>SUM(B8:B16)</f>
        <v>128631796</v>
      </c>
      <c r="C17" s="7">
        <f>SUM(C8:C16)</f>
        <v>45311666</v>
      </c>
      <c r="D17" s="7">
        <f>SUM(D8:D16)</f>
        <v>38042723.751</v>
      </c>
      <c r="E17" s="7">
        <f aca="true" t="shared" si="1" ref="E17:AW17">SUM(E8:E16)</f>
        <v>21375030</v>
      </c>
      <c r="F17" s="7">
        <f t="shared" si="1"/>
        <v>32567945</v>
      </c>
      <c r="G17" s="7">
        <f t="shared" si="1"/>
        <v>28410184</v>
      </c>
      <c r="H17" s="7">
        <f>SUM(H8:H16)</f>
        <v>20819631.5</v>
      </c>
      <c r="I17" s="7">
        <f t="shared" si="1"/>
        <v>5130828</v>
      </c>
      <c r="J17" s="7">
        <f t="shared" si="1"/>
        <v>15097593.3155</v>
      </c>
      <c r="K17" s="7">
        <f t="shared" si="1"/>
        <v>8081287</v>
      </c>
      <c r="L17" s="7">
        <f t="shared" si="1"/>
        <v>19114357</v>
      </c>
      <c r="M17" s="7">
        <f t="shared" si="1"/>
        <v>12478863</v>
      </c>
      <c r="N17" s="7">
        <f>SUM(N8:N16)</f>
        <v>4970988</v>
      </c>
      <c r="O17" s="7">
        <f t="shared" si="1"/>
        <v>7968402</v>
      </c>
      <c r="P17" s="7">
        <f t="shared" si="1"/>
        <v>8853462.798</v>
      </c>
      <c r="Q17" s="7">
        <f t="shared" si="1"/>
        <v>3270395.195</v>
      </c>
      <c r="R17" s="7">
        <f>SUM(R8:R16)</f>
        <v>11398336</v>
      </c>
      <c r="S17" s="7">
        <f t="shared" si="1"/>
        <v>15231643</v>
      </c>
      <c r="T17" s="7">
        <f t="shared" si="1"/>
        <v>6793781</v>
      </c>
      <c r="U17" s="7">
        <f t="shared" si="1"/>
        <v>7206065.94</v>
      </c>
      <c r="V17" s="7">
        <f>SUM(V8:V16)</f>
        <v>6144492.613000001</v>
      </c>
      <c r="W17" s="7">
        <f>SUM(W8:W16)</f>
        <v>4975581</v>
      </c>
      <c r="X17" s="7">
        <f>SUM(X8:X16)</f>
        <v>5749626.863</v>
      </c>
      <c r="Y17" s="7">
        <f>SUM(Y8:Y16)</f>
        <v>6491765.5</v>
      </c>
      <c r="Z17" s="7">
        <f t="shared" si="1"/>
        <v>5627890</v>
      </c>
      <c r="AA17" s="7">
        <f t="shared" si="1"/>
        <v>2232088.403</v>
      </c>
      <c r="AB17" s="7">
        <f t="shared" si="1"/>
        <v>4502832</v>
      </c>
      <c r="AC17" s="7">
        <f t="shared" si="1"/>
        <v>1010618.1</v>
      </c>
      <c r="AD17" s="7">
        <f t="shared" si="1"/>
        <v>2534150</v>
      </c>
      <c r="AE17" s="7">
        <f t="shared" si="1"/>
        <v>628606</v>
      </c>
      <c r="AF17" s="7">
        <f t="shared" si="1"/>
        <v>1317640</v>
      </c>
      <c r="AG17" s="7">
        <f t="shared" si="1"/>
        <v>2132317</v>
      </c>
      <c r="AH17" s="7">
        <f>SUM(AH8:AH16)</f>
        <v>1729159</v>
      </c>
      <c r="AI17" s="7">
        <f t="shared" si="1"/>
        <v>740137</v>
      </c>
      <c r="AJ17" s="7">
        <f t="shared" si="1"/>
        <v>331477.773</v>
      </c>
      <c r="AK17" s="7">
        <f t="shared" si="1"/>
        <v>991223</v>
      </c>
      <c r="AL17" s="7">
        <f t="shared" si="1"/>
        <v>546538</v>
      </c>
      <c r="AM17" s="7">
        <f t="shared" si="1"/>
        <v>695741</v>
      </c>
      <c r="AN17" s="7">
        <f t="shared" si="1"/>
        <v>541689</v>
      </c>
      <c r="AO17" s="7">
        <f t="shared" si="1"/>
        <v>127668.33899999999</v>
      </c>
      <c r="AP17" s="7">
        <f t="shared" si="1"/>
        <v>195302</v>
      </c>
      <c r="AQ17" s="7">
        <f t="shared" si="1"/>
        <v>345307</v>
      </c>
      <c r="AR17" s="7">
        <f t="shared" si="1"/>
        <v>77875.901</v>
      </c>
      <c r="AS17" s="7">
        <f t="shared" si="1"/>
        <v>56819.70399999999</v>
      </c>
      <c r="AT17" s="7">
        <f t="shared" si="1"/>
        <v>95390</v>
      </c>
      <c r="AU17" s="7">
        <f t="shared" si="1"/>
        <v>150068</v>
      </c>
      <c r="AV17" s="7">
        <f>SUM(AV8:AV16)</f>
        <v>6</v>
      </c>
      <c r="AW17" s="7">
        <f t="shared" si="1"/>
        <v>60928</v>
      </c>
      <c r="AX17" s="7"/>
      <c r="AY17" s="7">
        <f t="shared" si="0"/>
        <v>490787915.69549996</v>
      </c>
      <c r="AZ17" s="7"/>
      <c r="BA17" s="7"/>
      <c r="BB17" s="8"/>
    </row>
    <row r="18" spans="1:54" ht="8.25" customHeight="1">
      <c r="A18" s="7"/>
      <c r="C18" s="126"/>
      <c r="D18" s="79"/>
      <c r="E18" s="11"/>
      <c r="F18" s="11"/>
      <c r="N18" s="19"/>
      <c r="Q18" s="11"/>
      <c r="R18" s="137"/>
      <c r="S18" s="11"/>
      <c r="T18" s="11"/>
      <c r="U18" s="11"/>
      <c r="X18" s="11"/>
      <c r="Z18" s="11"/>
      <c r="AB18" s="11"/>
      <c r="AC18" s="19"/>
      <c r="AF18" s="11"/>
      <c r="AG18" s="11"/>
      <c r="AH18" s="11"/>
      <c r="AI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W18" s="11"/>
      <c r="AY18" s="7"/>
      <c r="AZ18" s="7"/>
      <c r="BA18" s="7"/>
      <c r="BB18" s="8"/>
    </row>
    <row r="19" spans="1:54" ht="12.75">
      <c r="A19" s="9" t="s">
        <v>329</v>
      </c>
      <c r="B19" s="8"/>
      <c r="C19" s="126"/>
      <c r="D19" s="79"/>
      <c r="E19" s="79"/>
      <c r="F19" s="79"/>
      <c r="G19" s="8"/>
      <c r="H19" s="8"/>
      <c r="I19" s="8"/>
      <c r="J19" s="8"/>
      <c r="K19" s="8"/>
      <c r="L19" s="8"/>
      <c r="M19" s="8"/>
      <c r="N19" s="79"/>
      <c r="O19" s="8"/>
      <c r="P19" s="8"/>
      <c r="Q19" s="79"/>
      <c r="R19" s="65"/>
      <c r="S19" s="79"/>
      <c r="T19" s="79"/>
      <c r="U19" s="79"/>
      <c r="V19" s="8"/>
      <c r="W19" s="8"/>
      <c r="X19" s="79"/>
      <c r="Y19" s="8"/>
      <c r="Z19" s="79"/>
      <c r="AA19" s="8"/>
      <c r="AB19" s="79"/>
      <c r="AC19" s="79"/>
      <c r="AD19" s="8"/>
      <c r="AE19" s="8"/>
      <c r="AF19" s="79"/>
      <c r="AG19" s="79"/>
      <c r="AH19" s="79"/>
      <c r="AI19" s="79"/>
      <c r="AJ19" s="8"/>
      <c r="AK19" s="8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"/>
      <c r="AW19" s="79"/>
      <c r="AX19" s="8"/>
      <c r="AY19" s="7"/>
      <c r="AZ19" s="7"/>
      <c r="BA19" s="7"/>
      <c r="BB19" s="8"/>
    </row>
    <row r="20" spans="1:54" ht="12.75">
      <c r="A20" s="10" t="s">
        <v>271</v>
      </c>
      <c r="B20" s="8">
        <f>+'4.1. Samtryggingard.'!B135+'4.1. Samtryggingard.'!C135+'5.1. Séreignard.'!B139+'5.1. Séreignard.'!C139+'5.1. Séreignard.'!D139</f>
        <v>11111583</v>
      </c>
      <c r="C20" s="126">
        <f>+'4.1. Samtryggingard.'!D135+'5.1. Séreignard.'!E139</f>
        <v>2642872</v>
      </c>
      <c r="D20" s="79">
        <f>+'4.1. Samtryggingard.'!E135+'5.1. Séreignard.'!F139+'5.1. Séreignard.'!G139</f>
        <v>2271653.6319999998</v>
      </c>
      <c r="E20" s="79">
        <f>+'4.1. Samtryggingard.'!F135+'5.1. Séreignard.'!H139+'5.1. Séreignard.'!I139+'5.1. Séreignard.'!J139</f>
        <v>1404032</v>
      </c>
      <c r="F20" s="79">
        <f>+'4.1. Samtryggingard.'!G135+'4.1. Samtryggingard.'!H135+'5.1. Séreignard.'!K139+'5.1. Séreignard.'!L139</f>
        <v>1707398</v>
      </c>
      <c r="G20" s="8">
        <f>+'4.1. Samtryggingard.'!I135+'5.1. Séreignard.'!M139+'5.1. Séreignard.'!N139</f>
        <v>1137343</v>
      </c>
      <c r="H20" s="8">
        <f>+'4.1. Samtryggingard.'!J135+'5.1. Séreignard.'!O139+'5.1. Séreignard.'!P139+'5.1. Séreignard.'!Q139</f>
        <v>354030</v>
      </c>
      <c r="I20" s="8">
        <f>+'4.1. Samtryggingard.'!K135+'5.1. Séreignard.'!R139</f>
        <v>358385</v>
      </c>
      <c r="J20" s="8">
        <f>+'4.1. Samtryggingard.'!L135+'5.1. Séreignard.'!S139+'5.1. Séreignard.'!T139+'5.1. Séreignard.'!U139+'5.1. Séreignard.'!V139</f>
        <v>240852.825</v>
      </c>
      <c r="K20" s="8">
        <f>+'4.1. Samtryggingard.'!M135+'5.1. Séreignard.'!W139+'5.1. Séreignard.'!X139</f>
        <v>305200</v>
      </c>
      <c r="L20" s="8">
        <f>+'4.1. Samtryggingard.'!N135+'4.1. Samtryggingard.'!O135</f>
        <v>734652</v>
      </c>
      <c r="M20" s="8">
        <f>+'4.1. Samtryggingard.'!P135+'4.1. Samtryggingard.'!Q135+'5.1. Séreignard.'!Y139</f>
        <v>904301</v>
      </c>
      <c r="N20" s="79">
        <f>+'4.1. Samtryggingard.'!R135</f>
        <v>383300</v>
      </c>
      <c r="O20" s="8">
        <f>+'4.1. Samtryggingard.'!S135+'5.1. Séreignard.'!Z139</f>
        <v>446004</v>
      </c>
      <c r="P20" s="8">
        <f>+'4.1. Samtryggingard.'!T135+'5.1. Séreignard.'!AA139</f>
        <v>404508.515</v>
      </c>
      <c r="Q20" s="8">
        <f>+'4.1. Samtryggingard.'!U135+'5.1. Séreignard.'!AB139</f>
        <v>178319.017</v>
      </c>
      <c r="R20" s="79">
        <f>+'4.1. Samtryggingard.'!V135</f>
        <v>743708</v>
      </c>
      <c r="S20" s="79">
        <f>+'4.1. Samtryggingard.'!W135</f>
        <v>552357</v>
      </c>
      <c r="T20" s="79">
        <f>+'4.1. Samtryggingard.'!X135+'5.1. Séreignard.'!AC139+'5.1. Séreignard.'!AD139</f>
        <v>343323</v>
      </c>
      <c r="U20" s="79">
        <f>+'4.1. Samtryggingard.'!Y135</f>
        <v>671172.517</v>
      </c>
      <c r="V20" s="8">
        <f>+'4.1. Samtryggingard.'!Z135+'4.1. Samtryggingard.'!AA135+'5.1. Séreignard.'!AE139+'5.1. Séreignard.'!AF139+'5.1. Séreignard.'!AG139</f>
        <v>89470.13500000001</v>
      </c>
      <c r="W20" s="8">
        <f>+'4.1. Samtryggingard.'!AB135+'5.1. Séreignard.'!AH139</f>
        <v>321928</v>
      </c>
      <c r="X20" s="79">
        <f>+'4.1. Samtryggingard.'!AC135</f>
        <v>1353449.593</v>
      </c>
      <c r="Y20" s="8">
        <f>+'4.1. Samtryggingard.'!AD135+'5.1. Séreignard.'!AI139+'5.1. Séreignard.'!AJ139+'5.1. Séreignard.'!AK139+'5.1. Séreignard.'!AL139</f>
        <v>99386.706</v>
      </c>
      <c r="Z20" s="79">
        <f>+'4.1. Samtryggingard.'!AE135</f>
        <v>317815</v>
      </c>
      <c r="AA20" s="8">
        <f>+'4.1. Samtryggingard.'!AF135</f>
        <v>281154.131</v>
      </c>
      <c r="AB20" s="8">
        <f>+'4.1. Samtryggingard.'!AG135</f>
        <v>205061</v>
      </c>
      <c r="AC20" s="8">
        <f>+'4.1. Samtryggingard.'!AH135</f>
        <v>111190</v>
      </c>
      <c r="AD20" s="8">
        <f>+'4.1. Samtryggingard.'!AI135+'4.1. Samtryggingard.'!AJ135</f>
        <v>148511</v>
      </c>
      <c r="AE20" s="8">
        <f>+'4.1. Samtryggingard.'!AK135+'5.1. Séreignard.'!AM139</f>
        <v>70864</v>
      </c>
      <c r="AF20" s="79">
        <f>+'4.1. Samtryggingard.'!AL135</f>
        <v>57974</v>
      </c>
      <c r="AG20" s="79">
        <f>+'4.1. Samtryggingard.'!AM135</f>
        <v>103385</v>
      </c>
      <c r="AH20" s="79">
        <f>+'4.1. Samtryggingard.'!AN135+'5.1. Séreignard.'!AN139</f>
        <v>38381</v>
      </c>
      <c r="AI20" s="79">
        <f>+'4.1. Samtryggingard.'!AO135</f>
        <v>118439</v>
      </c>
      <c r="AJ20" s="8">
        <f>+'4.1. Samtryggingard.'!AP135</f>
        <v>60948.683</v>
      </c>
      <c r="AK20" s="8">
        <f>+'4.1. Samtryggingard.'!AQ135</f>
        <v>75303</v>
      </c>
      <c r="AL20" s="8">
        <f>+'4.1. Samtryggingard.'!AR135</f>
        <v>180957</v>
      </c>
      <c r="AM20" s="8">
        <f>+'4.1. Samtryggingard.'!AS135</f>
        <v>70104</v>
      </c>
      <c r="AN20" s="8">
        <f>+'4.1. Samtryggingard.'!AT135</f>
        <v>39932</v>
      </c>
      <c r="AO20" s="8">
        <f>+'4.1. Samtryggingard.'!AU135</f>
        <v>38412.9</v>
      </c>
      <c r="AP20" s="8">
        <f>+'4.1. Samtryggingard.'!AV135</f>
        <v>35932</v>
      </c>
      <c r="AQ20" s="8">
        <f>+'4.1. Samtryggingard.'!AW135</f>
        <v>37904</v>
      </c>
      <c r="AR20" s="8">
        <f>+'4.1. Samtryggingard.'!AX135</f>
        <v>38926</v>
      </c>
      <c r="AS20" s="8">
        <f>+'4.1. Samtryggingard.'!AY135</f>
        <v>37961.052</v>
      </c>
      <c r="AT20" s="8">
        <f>+'4.1. Samtryggingard.'!AZ135</f>
        <v>31999</v>
      </c>
      <c r="AU20" s="8">
        <f>+'4.1. Samtryggingard.'!BA135</f>
        <v>143765</v>
      </c>
      <c r="AV20" s="8">
        <f>+'4.1. Samtryggingard.'!BB135</f>
        <v>797</v>
      </c>
      <c r="AW20" s="8">
        <f>+'4.1. Samtryggingard.'!BC135</f>
        <v>56222</v>
      </c>
      <c r="AX20" s="8"/>
      <c r="AY20" s="7">
        <f aca="true" t="shared" si="2" ref="AY20:AY25">SUM(B20:AW20)</f>
        <v>31061166.706</v>
      </c>
      <c r="AZ20" s="7"/>
      <c r="BA20" s="7"/>
      <c r="BB20" s="8"/>
    </row>
    <row r="21" spans="1:54" ht="12.75">
      <c r="A21" s="10" t="s">
        <v>330</v>
      </c>
      <c r="B21" s="8">
        <f>+'4.1. Samtryggingard.'!B136+'4.1. Samtryggingard.'!C136+'5.1. Séreignard.'!B140+'5.1. Séreignard.'!C140+'5.1. Séreignard.'!D140</f>
        <v>554494</v>
      </c>
      <c r="C21" s="126">
        <f>+'4.1. Samtryggingard.'!D136+'5.1. Séreignard.'!E140</f>
        <v>146683</v>
      </c>
      <c r="D21" s="79">
        <f>+'4.1. Samtryggingard.'!E136+'5.1. Séreignard.'!F140+'5.1. Séreignard.'!G140</f>
        <v>64328.350000000006</v>
      </c>
      <c r="E21" s="79">
        <f>+'4.1. Samtryggingard.'!F136+'5.1. Séreignard.'!H140+'5.1. Séreignard.'!I140+'5.1. Séreignard.'!J140</f>
        <v>30221</v>
      </c>
      <c r="F21" s="79">
        <f>+'4.1. Samtryggingard.'!G136+'4.1. Samtryggingard.'!H136+'5.1. Séreignard.'!K140+'5.1. Séreignard.'!L140</f>
        <v>90061</v>
      </c>
      <c r="G21" s="8">
        <f>+'4.1. Samtryggingard.'!I136+'5.1. Séreignard.'!M140+'5.1. Séreignard.'!N140</f>
        <v>26950</v>
      </c>
      <c r="H21" s="8">
        <f>+'4.1. Samtryggingard.'!J136+'5.1. Séreignard.'!O140+'5.1. Séreignard.'!P140+'5.1. Séreignard.'!Q140</f>
        <v>117290</v>
      </c>
      <c r="I21" s="8">
        <f>+'4.1. Samtryggingard.'!K136+'5.1. Séreignard.'!R140</f>
        <v>25076</v>
      </c>
      <c r="J21" s="8">
        <f>+'4.1. Samtryggingard.'!L136+'5.1. Séreignard.'!S140+'5.1. Séreignard.'!T140+'5.1. Séreignard.'!U140+'5.1. Séreignard.'!V140</f>
        <v>7216.160615999999</v>
      </c>
      <c r="K21" s="8">
        <f>+'4.1. Samtryggingard.'!M136+'5.1. Séreignard.'!W140+'5.1. Séreignard.'!X140</f>
        <v>40163</v>
      </c>
      <c r="L21" s="8">
        <f>+'4.1. Samtryggingard.'!N136+'4.1. Samtryggingard.'!O136</f>
        <v>7683</v>
      </c>
      <c r="M21" s="8">
        <f>+'4.1. Samtryggingard.'!P136+'4.1. Samtryggingard.'!Q136+'5.1. Séreignard.'!Y140</f>
        <v>29896</v>
      </c>
      <c r="N21" s="79">
        <f>+'4.1. Samtryggingard.'!R136</f>
        <v>9577</v>
      </c>
      <c r="O21" s="8">
        <f>+'4.1. Samtryggingard.'!S136+'5.1. Séreignard.'!Z140</f>
        <v>34284</v>
      </c>
      <c r="P21" s="8">
        <f>+'4.1. Samtryggingard.'!T136+'5.1. Séreignard.'!AA140</f>
        <v>25903.455</v>
      </c>
      <c r="Q21" s="8">
        <f>+'4.1. Samtryggingard.'!U136+'5.1. Séreignard.'!AB140</f>
        <v>24759.008</v>
      </c>
      <c r="R21" s="79">
        <f>+'4.1. Samtryggingard.'!V136</f>
        <v>51720</v>
      </c>
      <c r="S21" s="79">
        <f>+'4.1. Samtryggingard.'!W136</f>
        <v>779</v>
      </c>
      <c r="T21" s="79">
        <f>+'4.1. Samtryggingard.'!X136+'5.1. Séreignard.'!AC140+'5.1. Séreignard.'!AD140</f>
        <v>12661</v>
      </c>
      <c r="U21" s="79">
        <f>+'4.1. Samtryggingard.'!Y136</f>
        <v>18594.728</v>
      </c>
      <c r="V21" s="8">
        <f>+'4.1. Samtryggingard.'!Z136+'4.1. Samtryggingard.'!AA136+'5.1. Séreignard.'!AE140+'5.1. Séreignard.'!AF140+'5.1. Séreignard.'!AG140</f>
        <v>9095.002</v>
      </c>
      <c r="W21" s="8">
        <f>+'4.1. Samtryggingard.'!AB136+'5.1. Séreignard.'!AH140</f>
        <v>17242</v>
      </c>
      <c r="X21" s="79">
        <f>+'4.1. Samtryggingard.'!AC136</f>
        <v>1111.399</v>
      </c>
      <c r="Y21" s="8">
        <f>+'4.1. Samtryggingard.'!AD136+'5.1. Séreignard.'!AI140+'5.1. Séreignard.'!AJ140+'5.1. Séreignard.'!AK140+'5.1. Séreignard.'!AL140</f>
        <v>20815.378</v>
      </c>
      <c r="Z21" s="79">
        <f>+'4.1. Samtryggingard.'!AE136</f>
        <v>9240</v>
      </c>
      <c r="AA21" s="8">
        <f>+'4.1. Samtryggingard.'!AF136</f>
        <v>0</v>
      </c>
      <c r="AB21" s="8">
        <f>+'4.1. Samtryggingard.'!AG136</f>
        <v>32172</v>
      </c>
      <c r="AC21" s="8">
        <f>+'4.1. Samtryggingard.'!AH136</f>
        <v>1722</v>
      </c>
      <c r="AD21" s="8">
        <f>+'4.1. Samtryggingard.'!AI136+'4.1. Samtryggingard.'!AJ136</f>
        <v>5656</v>
      </c>
      <c r="AE21" s="8">
        <f>+'4.1. Samtryggingard.'!AK136+'5.1. Séreignard.'!AM140</f>
        <v>5917</v>
      </c>
      <c r="AF21" s="79">
        <f>+'4.1. Samtryggingard.'!AL136</f>
        <v>3309</v>
      </c>
      <c r="AG21" s="79">
        <f>+'4.1. Samtryggingard.'!AM136</f>
        <v>233</v>
      </c>
      <c r="AH21" s="79">
        <f>+'4.1. Samtryggingard.'!AN136+'5.1. Séreignard.'!AN140</f>
        <v>5</v>
      </c>
      <c r="AI21" s="79">
        <f>+'4.1. Samtryggingard.'!AO136</f>
        <v>2479</v>
      </c>
      <c r="AJ21" s="8">
        <f>+'4.1. Samtryggingard.'!AP136</f>
        <v>2883.257</v>
      </c>
      <c r="AK21" s="8">
        <f>+'4.1. Samtryggingard.'!AQ136</f>
        <v>846</v>
      </c>
      <c r="AL21" s="8">
        <f>+'4.1. Samtryggingard.'!AR136</f>
        <v>1277</v>
      </c>
      <c r="AM21" s="8">
        <f>+'4.1. Samtryggingard.'!AS136</f>
        <v>1361</v>
      </c>
      <c r="AN21" s="8">
        <f>+'4.1. Samtryggingard.'!AT136</f>
        <v>698</v>
      </c>
      <c r="AO21" s="8">
        <f>+'4.1. Samtryggingard.'!AU136</f>
        <v>185.043</v>
      </c>
      <c r="AP21" s="8">
        <f>+'4.1. Samtryggingard.'!AV136</f>
        <v>72</v>
      </c>
      <c r="AQ21" s="8">
        <f>+'4.1. Samtryggingard.'!AW136</f>
        <v>53</v>
      </c>
      <c r="AR21" s="8">
        <f>+'4.1. Samtryggingard.'!AX136</f>
        <v>0</v>
      </c>
      <c r="AS21" s="8">
        <f>+'4.1. Samtryggingard.'!AY136</f>
        <v>56.488</v>
      </c>
      <c r="AT21" s="8">
        <f>+'4.1. Samtryggingard.'!AZ136</f>
        <v>1573</v>
      </c>
      <c r="AU21" s="8">
        <f>+'4.1. Samtryggingard.'!BA136</f>
        <v>0</v>
      </c>
      <c r="AV21" s="8">
        <f>+'4.1. Samtryggingard.'!BB136</f>
        <v>0</v>
      </c>
      <c r="AW21" s="8">
        <f>+'4.1. Samtryggingard.'!BC136</f>
        <v>0</v>
      </c>
      <c r="AX21" s="8"/>
      <c r="AY21" s="7">
        <f t="shared" si="2"/>
        <v>1436341.268616</v>
      </c>
      <c r="AZ21" s="7"/>
      <c r="BA21" s="7"/>
      <c r="BB21" s="8"/>
    </row>
    <row r="22" spans="1:54" ht="12.75">
      <c r="A22" s="10" t="s">
        <v>331</v>
      </c>
      <c r="B22" s="8">
        <f>+'4.1. Samtryggingard.'!B137+'4.1. Samtryggingard.'!C137+'5.1. Séreignard.'!B141+'5.1. Séreignard.'!C141+'5.1. Séreignard.'!D141</f>
        <v>225515</v>
      </c>
      <c r="C22" s="126">
        <f>+'4.1. Samtryggingard.'!D137+'5.1. Séreignard.'!E141</f>
        <v>145923</v>
      </c>
      <c r="D22" s="79">
        <f>+'4.1. Samtryggingard.'!E137+'5.1. Séreignard.'!F141+'5.1. Séreignard.'!G141</f>
        <v>119255.986</v>
      </c>
      <c r="E22" s="79">
        <f>+'4.1. Samtryggingard.'!F137+'5.1. Séreignard.'!H141+'5.1. Séreignard.'!I141+'5.1. Séreignard.'!J141</f>
        <v>76520</v>
      </c>
      <c r="F22" s="79">
        <f>+'4.1. Samtryggingard.'!G137+'4.1. Samtryggingard.'!H137+'5.1. Séreignard.'!K141+'5.1. Séreignard.'!L141</f>
        <v>84368</v>
      </c>
      <c r="G22" s="8">
        <f>+'4.1. Samtryggingard.'!I137+'5.1. Séreignard.'!M141+'5.1. Séreignard.'!N141</f>
        <v>55273</v>
      </c>
      <c r="H22" s="8">
        <f>+'4.1. Samtryggingard.'!J137+'5.1. Séreignard.'!O141+'5.1. Séreignard.'!P141+'5.1. Séreignard.'!Q141</f>
        <v>56945</v>
      </c>
      <c r="I22" s="8">
        <f>+'4.1. Samtryggingard.'!K137+'5.1. Séreignard.'!R141</f>
        <v>55541</v>
      </c>
      <c r="J22" s="8">
        <f>+'4.1. Samtryggingard.'!L137+'5.1. Séreignard.'!S141+'5.1. Séreignard.'!T141+'5.1. Séreignard.'!U141+'5.1. Séreignard.'!V141</f>
        <v>89591.39198383999</v>
      </c>
      <c r="K22" s="8">
        <f>+'4.1. Samtryggingard.'!M137+'5.1. Séreignard.'!W141+'5.1. Séreignard.'!X141</f>
        <v>33551</v>
      </c>
      <c r="L22" s="8">
        <f>+'4.1. Samtryggingard.'!N137+'4.1. Samtryggingard.'!O137</f>
        <v>36524</v>
      </c>
      <c r="M22" s="8">
        <f>+'4.1. Samtryggingard.'!P137+'4.1. Samtryggingard.'!Q137+'5.1. Séreignard.'!Y141</f>
        <v>33211</v>
      </c>
      <c r="N22" s="79">
        <f>+'4.1. Samtryggingard.'!R137</f>
        <v>14180</v>
      </c>
      <c r="O22" s="8">
        <f>+'4.1. Samtryggingard.'!S137+'5.1. Séreignard.'!Z141</f>
        <v>24016</v>
      </c>
      <c r="P22" s="8">
        <f>+'4.1. Samtryggingard.'!T137+'5.1. Séreignard.'!AA141</f>
        <v>45756.965</v>
      </c>
      <c r="Q22" s="8">
        <f>+'4.1. Samtryggingard.'!U137+'5.1. Séreignard.'!AB141</f>
        <v>30818.04</v>
      </c>
      <c r="R22" s="79">
        <f>+'4.1. Samtryggingard.'!V137</f>
        <v>16441</v>
      </c>
      <c r="S22" s="79">
        <f>+'4.1. Samtryggingard.'!W137</f>
        <v>59916</v>
      </c>
      <c r="T22" s="79">
        <f>+'4.1. Samtryggingard.'!X137+'5.1. Séreignard.'!AC141+'5.1. Séreignard.'!AD141</f>
        <v>20139</v>
      </c>
      <c r="U22" s="79">
        <f>+'4.1. Samtryggingard.'!Y137</f>
        <v>26611.653</v>
      </c>
      <c r="V22" s="8">
        <f>+'4.1. Samtryggingard.'!Z137+'4.1. Samtryggingard.'!AA137+'5.1. Séreignard.'!AE141+'5.1. Séreignard.'!AF141+'5.1. Séreignard.'!AG141</f>
        <v>42709.914</v>
      </c>
      <c r="W22" s="8">
        <f>+'4.1. Samtryggingard.'!AB137+'5.1. Séreignard.'!AH141</f>
        <v>13724</v>
      </c>
      <c r="X22" s="79">
        <f>+'4.1. Samtryggingard.'!AC137</f>
        <v>25637.948</v>
      </c>
      <c r="Y22" s="8">
        <f>+'4.1. Samtryggingard.'!AD137+'5.1. Séreignard.'!AI141+'5.1. Séreignard.'!AJ141+'5.1. Séreignard.'!AK141+'5.1. Séreignard.'!AL141</f>
        <v>42804.037</v>
      </c>
      <c r="Z22" s="79">
        <f>+'4.1. Samtryggingard.'!AE137</f>
        <v>12155</v>
      </c>
      <c r="AA22" s="8">
        <f>+'4.1. Samtryggingard.'!AF137</f>
        <v>7456.141</v>
      </c>
      <c r="AB22" s="8">
        <f>+'4.1. Samtryggingard.'!AG137</f>
        <v>16931</v>
      </c>
      <c r="AC22" s="8">
        <f>+'4.1. Samtryggingard.'!AH137</f>
        <v>2600</v>
      </c>
      <c r="AD22" s="8">
        <f>+'4.1. Samtryggingard.'!AI137+'4.1. Samtryggingard.'!AJ137</f>
        <v>8195</v>
      </c>
      <c r="AE22" s="8">
        <f>+'4.1. Samtryggingard.'!AK137+'5.1. Séreignard.'!AM141</f>
        <v>4657</v>
      </c>
      <c r="AF22" s="79">
        <f>+'4.1. Samtryggingard.'!AL137</f>
        <v>4628</v>
      </c>
      <c r="AG22" s="79">
        <f>+'4.1. Samtryggingard.'!AM137</f>
        <v>2741</v>
      </c>
      <c r="AH22" s="79">
        <f>+'4.1. Samtryggingard.'!AN137+'5.1. Séreignard.'!AN141</f>
        <v>4261</v>
      </c>
      <c r="AI22" s="79">
        <f>+'4.1. Samtryggingard.'!AO137</f>
        <v>8324</v>
      </c>
      <c r="AJ22" s="8">
        <f>+'4.1. Samtryggingard.'!AP137</f>
        <v>6840.581</v>
      </c>
      <c r="AK22" s="8">
        <f>+'4.1. Samtryggingard.'!AQ137</f>
        <v>2170</v>
      </c>
      <c r="AL22" s="8">
        <f>+'4.1. Samtryggingard.'!AR137</f>
        <v>4371</v>
      </c>
      <c r="AM22" s="8">
        <f>+'4.1. Samtryggingard.'!AS137</f>
        <v>724</v>
      </c>
      <c r="AN22" s="8">
        <f>+'4.1. Samtryggingard.'!AT137</f>
        <v>892</v>
      </c>
      <c r="AO22" s="8">
        <f>+'4.1. Samtryggingard.'!AU137</f>
        <v>1258.341</v>
      </c>
      <c r="AP22" s="8">
        <f>+'4.1. Samtryggingard.'!AV137</f>
        <v>3542</v>
      </c>
      <c r="AQ22" s="8">
        <f>+'4.1. Samtryggingard.'!AW137</f>
        <v>2289</v>
      </c>
      <c r="AR22" s="8">
        <f>+'4.1. Samtryggingard.'!AX137</f>
        <v>396</v>
      </c>
      <c r="AS22" s="8">
        <f>+'4.1. Samtryggingard.'!AY137</f>
        <v>3736.441</v>
      </c>
      <c r="AT22" s="8">
        <f>+'4.1. Samtryggingard.'!AZ137</f>
        <v>1573</v>
      </c>
      <c r="AU22" s="8">
        <f>+'4.1. Samtryggingard.'!BA137</f>
        <v>2453</v>
      </c>
      <c r="AV22" s="8">
        <f>+'4.1. Samtryggingard.'!BB137</f>
        <v>0</v>
      </c>
      <c r="AW22" s="8">
        <f>+'4.1. Samtryggingard.'!BC137</f>
        <v>3818</v>
      </c>
      <c r="AX22" s="8"/>
      <c r="AY22" s="7">
        <f t="shared" si="2"/>
        <v>1480984.4389838406</v>
      </c>
      <c r="AZ22" s="7"/>
      <c r="BA22" s="7"/>
      <c r="BB22" s="8"/>
    </row>
    <row r="23" spans="1:54" ht="12.75">
      <c r="A23" s="10" t="s">
        <v>332</v>
      </c>
      <c r="B23" s="8">
        <f>+'4.1. Samtryggingard.'!B138+'4.1. Samtryggingard.'!C138+'5.1. Séreignard.'!B142+'5.1. Séreignard.'!C142+'5.1. Séreignard.'!D142</f>
        <v>127181</v>
      </c>
      <c r="C23" s="126">
        <f>+'4.1. Samtryggingard.'!D138+'5.1. Séreignard.'!E142</f>
        <v>0</v>
      </c>
      <c r="D23" s="79">
        <f>+'4.1. Samtryggingard.'!E138+'5.1. Séreignard.'!F142+'5.1. Séreignard.'!G142</f>
        <v>230397.707</v>
      </c>
      <c r="E23" s="79">
        <f>+'4.1. Samtryggingard.'!F138+'5.1. Séreignard.'!H142+'5.1. Séreignard.'!I142+'5.1. Séreignard.'!J142</f>
        <v>0</v>
      </c>
      <c r="F23" s="79">
        <f>+'4.1. Samtryggingard.'!G138+'4.1. Samtryggingard.'!H138+'5.1. Séreignard.'!K142+'5.1. Séreignard.'!L142</f>
        <v>0</v>
      </c>
      <c r="G23" s="8">
        <f>+'4.1. Samtryggingard.'!I138+'5.1. Séreignard.'!M142+'5.1. Séreignard.'!N142</f>
        <v>0</v>
      </c>
      <c r="H23" s="8">
        <f>+'4.1. Samtryggingard.'!J138+'5.1. Séreignard.'!O142+'5.1. Séreignard.'!P142+'5.1. Séreignard.'!Q142</f>
        <v>0</v>
      </c>
      <c r="I23" s="8">
        <f>+'4.1. Samtryggingard.'!K138+'5.1. Séreignard.'!R142</f>
        <v>0</v>
      </c>
      <c r="J23" s="8">
        <f>+'4.1. Samtryggingard.'!L138+'5.1. Séreignard.'!S142+'5.1. Séreignard.'!T142+'5.1. Séreignard.'!U142+'5.1. Séreignard.'!V142</f>
        <v>0</v>
      </c>
      <c r="K23" s="8">
        <f>+'4.1. Samtryggingard.'!M138+'5.1. Séreignard.'!W142+'5.1. Séreignard.'!X142</f>
        <v>0</v>
      </c>
      <c r="L23" s="8">
        <f>+'4.1. Samtryggingard.'!N138+'4.1. Samtryggingard.'!O138</f>
        <v>0</v>
      </c>
      <c r="M23" s="8">
        <f>+'4.1. Samtryggingard.'!P138+'4.1. Samtryggingard.'!Q138+'5.1. Séreignard.'!Y142</f>
        <v>0</v>
      </c>
      <c r="N23" s="79">
        <f>+'4.1. Samtryggingard.'!R138</f>
        <v>0</v>
      </c>
      <c r="O23" s="8">
        <f>+'4.1. Samtryggingard.'!S138+'5.1. Séreignard.'!Z142</f>
        <v>0</v>
      </c>
      <c r="P23" s="8">
        <f>+'4.1. Samtryggingard.'!T138+'5.1. Séreignard.'!AA142</f>
        <v>0</v>
      </c>
      <c r="Q23" s="8">
        <f>+'4.1. Samtryggingard.'!U138+'5.1. Séreignard.'!AB142</f>
        <v>0</v>
      </c>
      <c r="R23" s="79">
        <f>+'4.1. Samtryggingard.'!V138</f>
        <v>37104</v>
      </c>
      <c r="S23" s="79">
        <f>+'4.1. Samtryggingard.'!W138</f>
        <v>0</v>
      </c>
      <c r="T23" s="79">
        <f>+'4.1. Samtryggingard.'!X138+'5.1. Séreignard.'!AC142+'5.1. Séreignard.'!AD142</f>
        <v>0</v>
      </c>
      <c r="U23" s="79">
        <f>+'4.1. Samtryggingard.'!Y138</f>
        <v>0</v>
      </c>
      <c r="V23" s="8">
        <f>+'4.1. Samtryggingard.'!Z138+'4.1. Samtryggingard.'!AA138+'5.1. Séreignard.'!AE142+'5.1. Séreignard.'!AF142+'5.1. Séreignard.'!AG142</f>
        <v>0</v>
      </c>
      <c r="W23" s="8">
        <f>+'4.1. Samtryggingard.'!AB138+'5.1. Séreignard.'!AH142</f>
        <v>0</v>
      </c>
      <c r="X23" s="79">
        <f>+'4.1. Samtryggingard.'!AC138</f>
        <v>0</v>
      </c>
      <c r="Y23" s="8">
        <f>+'4.1. Samtryggingard.'!AD138+'5.1. Séreignard.'!AI142+'5.1. Séreignard.'!AJ142+'5.1. Séreignard.'!AK142+'5.1. Séreignard.'!AL142</f>
        <v>0</v>
      </c>
      <c r="Z23" s="79">
        <f>+'4.1. Samtryggingard.'!AE138</f>
        <v>0</v>
      </c>
      <c r="AA23" s="8">
        <f>+'4.1. Samtryggingard.'!AF138</f>
        <v>0</v>
      </c>
      <c r="AB23" s="8">
        <f>+'4.1. Samtryggingard.'!AG138</f>
        <v>0</v>
      </c>
      <c r="AC23" s="8">
        <f>+'4.1. Samtryggingard.'!AH138</f>
        <v>0</v>
      </c>
      <c r="AD23" s="8">
        <f>+'4.1. Samtryggingard.'!AI138+'4.1. Samtryggingard.'!AJ138</f>
        <v>737</v>
      </c>
      <c r="AE23" s="8">
        <f>+'4.1. Samtryggingard.'!AK138+'5.1. Séreignard.'!AM142</f>
        <v>0</v>
      </c>
      <c r="AF23" s="79">
        <f>+'4.1. Samtryggingard.'!AL138</f>
        <v>0</v>
      </c>
      <c r="AG23" s="79">
        <f>+'4.1. Samtryggingard.'!AM138</f>
        <v>0</v>
      </c>
      <c r="AH23" s="79">
        <f>+'4.1. Samtryggingard.'!AN138+'5.1. Séreignard.'!AN142</f>
        <v>0</v>
      </c>
      <c r="AI23" s="79">
        <f>+'4.1. Samtryggingard.'!AO138</f>
        <v>0</v>
      </c>
      <c r="AJ23" s="8">
        <f>+'4.1. Samtryggingard.'!AP138</f>
        <v>0</v>
      </c>
      <c r="AK23" s="8">
        <f>+'4.1. Samtryggingard.'!AQ138</f>
        <v>0</v>
      </c>
      <c r="AL23" s="8">
        <f>+'4.1. Samtryggingard.'!AR138</f>
        <v>0</v>
      </c>
      <c r="AM23" s="8">
        <f>+'4.1. Samtryggingard.'!AS138</f>
        <v>0</v>
      </c>
      <c r="AN23" s="8">
        <f>+'4.1. Samtryggingard.'!AT138</f>
        <v>0</v>
      </c>
      <c r="AO23" s="8">
        <f>+'4.1. Samtryggingard.'!AU138</f>
        <v>0</v>
      </c>
      <c r="AP23" s="8">
        <f>+'4.1. Samtryggingard.'!AV138</f>
        <v>0</v>
      </c>
      <c r="AQ23" s="8">
        <f>+'4.1. Samtryggingard.'!AW138</f>
        <v>0</v>
      </c>
      <c r="AR23" s="8">
        <f>+'4.1. Samtryggingard.'!AX138</f>
        <v>0</v>
      </c>
      <c r="AS23" s="8">
        <f>+'4.1. Samtryggingard.'!AY138</f>
        <v>0</v>
      </c>
      <c r="AT23" s="8">
        <f>+'4.1. Samtryggingard.'!AZ138</f>
        <v>0</v>
      </c>
      <c r="AU23" s="8">
        <f>+'4.1. Samtryggingard.'!BA138</f>
        <v>0</v>
      </c>
      <c r="AV23" s="8">
        <f>+'4.1. Samtryggingard.'!BB138</f>
        <v>-468</v>
      </c>
      <c r="AW23" s="8">
        <f>+'4.1. Samtryggingard.'!BC138</f>
        <v>0</v>
      </c>
      <c r="AX23" s="8"/>
      <c r="AY23" s="7">
        <f t="shared" si="2"/>
        <v>394951.707</v>
      </c>
      <c r="AZ23" s="7"/>
      <c r="BA23" s="7"/>
      <c r="BB23" s="8"/>
    </row>
    <row r="24" spans="1:54" ht="12.75">
      <c r="A24" s="10" t="s">
        <v>333</v>
      </c>
      <c r="B24" s="8">
        <f>+'4.1. Samtryggingard.'!B139+'4.1. Samtryggingard.'!C139+'5.1. Séreignard.'!B143+'5.1. Séreignard.'!C143+'5.1. Séreignard.'!D143</f>
        <v>0</v>
      </c>
      <c r="C24" s="126">
        <f>+'4.1. Samtryggingard.'!D139+'5.1. Séreignard.'!E143</f>
        <v>114436</v>
      </c>
      <c r="D24" s="79">
        <f>+'4.1. Samtryggingard.'!E139+'5.1. Séreignard.'!F143+'5.1. Séreignard.'!G143</f>
        <v>-398.239</v>
      </c>
      <c r="E24" s="79">
        <f>+'4.1. Samtryggingard.'!F139+'5.1. Séreignard.'!H143+'5.1. Séreignard.'!I143+'5.1. Séreignard.'!J143</f>
        <v>7184</v>
      </c>
      <c r="F24" s="79">
        <f>+'4.1. Samtryggingard.'!G139+'4.1. Samtryggingard.'!H139+'5.1. Séreignard.'!K143+'5.1. Séreignard.'!L143</f>
        <v>503364</v>
      </c>
      <c r="G24" s="8">
        <f>+'4.1. Samtryggingard.'!I139+'5.1. Séreignard.'!M143+'5.1. Séreignard.'!N143</f>
        <v>383920</v>
      </c>
      <c r="H24" s="8">
        <f>+'4.1. Samtryggingard.'!J139+'5.1. Séreignard.'!O143+'5.1. Séreignard.'!P143+'5.1. Séreignard.'!Q143</f>
        <v>5429.4000000000015</v>
      </c>
      <c r="I24" s="8">
        <f>+'4.1. Samtryggingard.'!K139+'5.1. Séreignard.'!R143</f>
        <v>0</v>
      </c>
      <c r="J24" s="8">
        <f>+'4.1. Samtryggingard.'!L139+'5.1. Séreignard.'!S143+'5.1. Séreignard.'!T143+'5.1. Séreignard.'!U143+'5.1. Séreignard.'!V143</f>
        <v>14959.858</v>
      </c>
      <c r="K24" s="8">
        <f>+'4.1. Samtryggingard.'!M139+'5.1. Séreignard.'!W143+'5.1. Séreignard.'!X143</f>
        <v>34575</v>
      </c>
      <c r="L24" s="8">
        <f>+'4.1. Samtryggingard.'!N139+'4.1. Samtryggingard.'!O139</f>
        <v>31435</v>
      </c>
      <c r="M24" s="8">
        <f>+'4.1. Samtryggingard.'!P139+'4.1. Samtryggingard.'!Q139+'5.1. Séreignard.'!Y143</f>
        <v>0</v>
      </c>
      <c r="N24" s="79">
        <f>+'4.1. Samtryggingard.'!R139</f>
        <v>1803</v>
      </c>
      <c r="O24" s="8">
        <f>+'4.1. Samtryggingard.'!S139+'5.1. Séreignard.'!Z143</f>
        <v>70</v>
      </c>
      <c r="P24" s="8">
        <f>+'4.1. Samtryggingard.'!T139+'5.1. Séreignard.'!AA143</f>
        <v>358.175</v>
      </c>
      <c r="Q24" s="8">
        <f>+'4.1. Samtryggingard.'!U139+'5.1. Séreignard.'!AB143</f>
        <v>36969.887</v>
      </c>
      <c r="R24" s="79">
        <f>+'4.1. Samtryggingard.'!V139</f>
        <v>0</v>
      </c>
      <c r="S24" s="79">
        <f>+'4.1. Samtryggingard.'!W139</f>
        <v>0</v>
      </c>
      <c r="T24" s="79">
        <f>+'4.1. Samtryggingard.'!X139+'5.1. Séreignard.'!AC143+'5.1. Séreignard.'!AD143</f>
        <v>5371</v>
      </c>
      <c r="U24" s="79">
        <f>+'4.1. Samtryggingard.'!Y139</f>
        <v>0</v>
      </c>
      <c r="V24" s="8">
        <f>+'4.1. Samtryggingard.'!Z139+'4.1. Samtryggingard.'!AA139+'5.1. Séreignard.'!AE143+'5.1. Séreignard.'!AF143+'5.1. Séreignard.'!AG143</f>
        <v>-591.709</v>
      </c>
      <c r="W24" s="8">
        <f>+'4.1. Samtryggingard.'!AB139+'5.1. Séreignard.'!AH143</f>
        <v>2878</v>
      </c>
      <c r="X24" s="79">
        <f>+'4.1. Samtryggingard.'!AC139</f>
        <v>0</v>
      </c>
      <c r="Y24" s="8">
        <f>+'4.1. Samtryggingard.'!AD139+'5.1. Séreignard.'!AI143+'5.1. Séreignard.'!AJ143+'5.1. Séreignard.'!AK143+'5.1. Séreignard.'!AL143</f>
        <v>0</v>
      </c>
      <c r="Z24" s="79">
        <f>+'4.1. Samtryggingard.'!AE139</f>
        <v>0</v>
      </c>
      <c r="AA24" s="8">
        <f>+'4.1. Samtryggingard.'!AF139</f>
        <v>0</v>
      </c>
      <c r="AB24" s="8">
        <f>+'4.1. Samtryggingard.'!AG139</f>
        <v>0</v>
      </c>
      <c r="AC24" s="8">
        <f>+'4.1. Samtryggingard.'!AH139</f>
        <v>0</v>
      </c>
      <c r="AD24" s="8">
        <f>+'4.1. Samtryggingard.'!AI139+'4.1. Samtryggingard.'!AJ139</f>
        <v>0</v>
      </c>
      <c r="AE24" s="8">
        <f>+'4.1. Samtryggingard.'!AK139+'5.1. Séreignard.'!AM143</f>
        <v>0</v>
      </c>
      <c r="AF24" s="79">
        <f>+'4.1. Samtryggingard.'!AL139</f>
        <v>0</v>
      </c>
      <c r="AG24" s="79">
        <f>+'4.1. Samtryggingard.'!AM139</f>
        <v>0</v>
      </c>
      <c r="AH24" s="79">
        <f>+'4.1. Samtryggingard.'!AN139+'5.1. Séreignard.'!AN143</f>
        <v>118528</v>
      </c>
      <c r="AI24" s="79">
        <f>+'4.1. Samtryggingard.'!AO139</f>
        <v>16666</v>
      </c>
      <c r="AJ24" s="8">
        <f>+'4.1. Samtryggingard.'!AP139</f>
        <v>0</v>
      </c>
      <c r="AK24" s="8">
        <f>+'4.1. Samtryggingard.'!AQ139</f>
        <v>0</v>
      </c>
      <c r="AL24" s="8">
        <f>+'4.1. Samtryggingard.'!AR139</f>
        <v>0</v>
      </c>
      <c r="AM24" s="8">
        <f>+'4.1. Samtryggingard.'!AS139</f>
        <v>0</v>
      </c>
      <c r="AN24" s="8">
        <f>+'4.1. Samtryggingard.'!AT139</f>
        <v>0</v>
      </c>
      <c r="AO24" s="8">
        <f>+'4.1. Samtryggingard.'!AU139</f>
        <v>639.569</v>
      </c>
      <c r="AP24" s="8">
        <f>+'4.1. Samtryggingard.'!AV139</f>
        <v>0</v>
      </c>
      <c r="AQ24" s="8">
        <f>+'4.1. Samtryggingard.'!AW139</f>
        <v>0</v>
      </c>
      <c r="AR24" s="8">
        <f>+'4.1. Samtryggingard.'!AX139</f>
        <v>12</v>
      </c>
      <c r="AS24" s="8">
        <f>+'4.1. Samtryggingard.'!AY139</f>
        <v>0</v>
      </c>
      <c r="AT24" s="8">
        <f>+'4.1. Samtryggingard.'!AZ139</f>
        <v>0</v>
      </c>
      <c r="AU24" s="8">
        <f>+'4.1. Samtryggingard.'!BA139</f>
        <v>0</v>
      </c>
      <c r="AV24" s="8">
        <f>+'4.1. Samtryggingard.'!BB139</f>
        <v>0</v>
      </c>
      <c r="AW24" s="8">
        <f>+'4.1. Samtryggingard.'!BC139</f>
        <v>0</v>
      </c>
      <c r="AX24" s="8"/>
      <c r="AY24" s="7">
        <f t="shared" si="2"/>
        <v>1277608.9409999999</v>
      </c>
      <c r="AZ24" s="7"/>
      <c r="BA24" s="7"/>
      <c r="BB24" s="8"/>
    </row>
    <row r="25" spans="1:54" ht="12.75">
      <c r="A25" s="218" t="s">
        <v>334</v>
      </c>
      <c r="B25" s="7">
        <f>SUM(B20:B24)</f>
        <v>12018773</v>
      </c>
      <c r="C25" s="7">
        <f>SUM(C20:C24)</f>
        <v>3049914</v>
      </c>
      <c r="D25" s="7">
        <f>SUM(D20:D24)</f>
        <v>2685237.4359999998</v>
      </c>
      <c r="E25" s="7">
        <f aca="true" t="shared" si="3" ref="E25:AW25">SUM(E20:E24)</f>
        <v>1517957</v>
      </c>
      <c r="F25" s="7">
        <f t="shared" si="3"/>
        <v>2385191</v>
      </c>
      <c r="G25" s="7">
        <f t="shared" si="3"/>
        <v>1603486</v>
      </c>
      <c r="H25" s="7">
        <f>SUM(H20:H24)</f>
        <v>533694.4</v>
      </c>
      <c r="I25" s="7">
        <f t="shared" si="3"/>
        <v>439002</v>
      </c>
      <c r="J25" s="7">
        <f t="shared" si="3"/>
        <v>352620.23559984</v>
      </c>
      <c r="K25" s="7">
        <f t="shared" si="3"/>
        <v>413489</v>
      </c>
      <c r="L25" s="7">
        <f t="shared" si="3"/>
        <v>810294</v>
      </c>
      <c r="M25" s="7">
        <f t="shared" si="3"/>
        <v>967408</v>
      </c>
      <c r="N25" s="7">
        <f>SUM(N20:N24)</f>
        <v>408860</v>
      </c>
      <c r="O25" s="7">
        <f t="shared" si="3"/>
        <v>504374</v>
      </c>
      <c r="P25" s="7">
        <f t="shared" si="3"/>
        <v>476527.11000000004</v>
      </c>
      <c r="Q25" s="7">
        <f t="shared" si="3"/>
        <v>270865.952</v>
      </c>
      <c r="R25" s="7">
        <f>SUM(R20:R24)</f>
        <v>848973</v>
      </c>
      <c r="S25" s="7">
        <f t="shared" si="3"/>
        <v>613052</v>
      </c>
      <c r="T25" s="7">
        <f t="shared" si="3"/>
        <v>381494</v>
      </c>
      <c r="U25" s="7">
        <f t="shared" si="3"/>
        <v>716378.898</v>
      </c>
      <c r="V25" s="7">
        <f>SUM(V20:V24)</f>
        <v>140683.342</v>
      </c>
      <c r="W25" s="7">
        <f>SUM(W20:W24)</f>
        <v>355772</v>
      </c>
      <c r="X25" s="7">
        <f t="shared" si="3"/>
        <v>1380198.9400000002</v>
      </c>
      <c r="Y25" s="7">
        <f>SUM(Y20:Y24)</f>
        <v>163006.12099999998</v>
      </c>
      <c r="Z25" s="7">
        <f t="shared" si="3"/>
        <v>339210</v>
      </c>
      <c r="AA25" s="7">
        <f t="shared" si="3"/>
        <v>288610.272</v>
      </c>
      <c r="AB25" s="7">
        <f t="shared" si="3"/>
        <v>254164</v>
      </c>
      <c r="AC25" s="7">
        <f t="shared" si="3"/>
        <v>115512</v>
      </c>
      <c r="AD25" s="7">
        <f t="shared" si="3"/>
        <v>163099</v>
      </c>
      <c r="AE25" s="7">
        <f t="shared" si="3"/>
        <v>81438</v>
      </c>
      <c r="AF25" s="7">
        <f t="shared" si="3"/>
        <v>65911</v>
      </c>
      <c r="AG25" s="7">
        <f t="shared" si="3"/>
        <v>106359</v>
      </c>
      <c r="AH25" s="7">
        <f>SUM(AH20:AH24)</f>
        <v>161175</v>
      </c>
      <c r="AI25" s="7">
        <f t="shared" si="3"/>
        <v>145908</v>
      </c>
      <c r="AJ25" s="7">
        <f t="shared" si="3"/>
        <v>70672.521</v>
      </c>
      <c r="AK25" s="7">
        <f t="shared" si="3"/>
        <v>78319</v>
      </c>
      <c r="AL25" s="7">
        <f t="shared" si="3"/>
        <v>186605</v>
      </c>
      <c r="AM25" s="7">
        <f t="shared" si="3"/>
        <v>72189</v>
      </c>
      <c r="AN25" s="7">
        <f t="shared" si="3"/>
        <v>41522</v>
      </c>
      <c r="AO25" s="7">
        <f t="shared" si="3"/>
        <v>40495.853</v>
      </c>
      <c r="AP25" s="7">
        <f t="shared" si="3"/>
        <v>39546</v>
      </c>
      <c r="AQ25" s="7">
        <f t="shared" si="3"/>
        <v>40246</v>
      </c>
      <c r="AR25" s="7">
        <f t="shared" si="3"/>
        <v>39334</v>
      </c>
      <c r="AS25" s="7">
        <f t="shared" si="3"/>
        <v>41753.981</v>
      </c>
      <c r="AT25" s="7">
        <f t="shared" si="3"/>
        <v>35145</v>
      </c>
      <c r="AU25" s="7">
        <f t="shared" si="3"/>
        <v>146218</v>
      </c>
      <c r="AV25" s="7">
        <f>SUM(AV20:AV24)</f>
        <v>329</v>
      </c>
      <c r="AW25" s="7">
        <f t="shared" si="3"/>
        <v>60040</v>
      </c>
      <c r="AX25" s="7"/>
      <c r="AY25" s="7">
        <f t="shared" si="2"/>
        <v>35651053.061599836</v>
      </c>
      <c r="AZ25" s="7"/>
      <c r="BA25" s="7"/>
      <c r="BB25" s="8"/>
    </row>
    <row r="26" spans="1:54" ht="8.25" customHeight="1">
      <c r="A26" s="7"/>
      <c r="C26" s="126"/>
      <c r="D26" s="79"/>
      <c r="E26" s="11"/>
      <c r="F26" s="11"/>
      <c r="N26" s="19"/>
      <c r="Q26" s="11"/>
      <c r="R26" s="137"/>
      <c r="S26" s="11"/>
      <c r="T26" s="11"/>
      <c r="U26" s="11"/>
      <c r="X26" s="11"/>
      <c r="Z26" s="11"/>
      <c r="AB26" s="11"/>
      <c r="AC26" s="19"/>
      <c r="AF26" s="11"/>
      <c r="AG26" s="11"/>
      <c r="AH26" s="7"/>
      <c r="AI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W26" s="11"/>
      <c r="AY26" s="7"/>
      <c r="AZ26" s="7"/>
      <c r="BA26" s="7"/>
      <c r="BB26" s="8"/>
    </row>
    <row r="27" spans="1:54" ht="12.75">
      <c r="A27" s="9" t="s">
        <v>335</v>
      </c>
      <c r="C27" s="126"/>
      <c r="D27" s="79"/>
      <c r="E27" s="11"/>
      <c r="F27" s="11"/>
      <c r="N27" s="19"/>
      <c r="Q27" s="11"/>
      <c r="R27" s="65"/>
      <c r="S27" s="11"/>
      <c r="T27" s="11"/>
      <c r="U27" s="11"/>
      <c r="X27" s="11"/>
      <c r="Z27" s="11"/>
      <c r="AB27" s="11"/>
      <c r="AC27" s="19"/>
      <c r="AD27" s="18">
        <v>0</v>
      </c>
      <c r="AF27" s="11"/>
      <c r="AG27" s="11"/>
      <c r="AH27" s="11"/>
      <c r="AI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W27" s="11"/>
      <c r="AY27" s="7"/>
      <c r="AZ27" s="7"/>
      <c r="BA27" s="7"/>
      <c r="BB27" s="8"/>
    </row>
    <row r="28" spans="1:54" ht="12.75">
      <c r="A28" s="9" t="s">
        <v>336</v>
      </c>
      <c r="B28" s="7">
        <f>+B17-B25</f>
        <v>116613023</v>
      </c>
      <c r="C28" s="7">
        <f>+C17-C25</f>
        <v>42261752</v>
      </c>
      <c r="D28" s="7">
        <f>+D17-D25</f>
        <v>35357486.315000005</v>
      </c>
      <c r="E28" s="7">
        <f aca="true" t="shared" si="4" ref="E28:AW28">+E17-E25</f>
        <v>19857073</v>
      </c>
      <c r="F28" s="7">
        <f t="shared" si="4"/>
        <v>30182754</v>
      </c>
      <c r="G28" s="7">
        <f t="shared" si="4"/>
        <v>26806698</v>
      </c>
      <c r="H28" s="7">
        <f>+H17-H25</f>
        <v>20285937.1</v>
      </c>
      <c r="I28" s="7">
        <f t="shared" si="4"/>
        <v>4691826</v>
      </c>
      <c r="J28" s="7">
        <f t="shared" si="4"/>
        <v>14744973.07990016</v>
      </c>
      <c r="K28" s="7">
        <f t="shared" si="4"/>
        <v>7667798</v>
      </c>
      <c r="L28" s="7">
        <f t="shared" si="4"/>
        <v>18304063</v>
      </c>
      <c r="M28" s="7">
        <f t="shared" si="4"/>
        <v>11511455</v>
      </c>
      <c r="N28" s="7">
        <f>+N17-N25</f>
        <v>4562128</v>
      </c>
      <c r="O28" s="7">
        <f t="shared" si="4"/>
        <v>7464028</v>
      </c>
      <c r="P28" s="7">
        <f t="shared" si="4"/>
        <v>8376935.688</v>
      </c>
      <c r="Q28" s="7">
        <f t="shared" si="4"/>
        <v>2999529.243</v>
      </c>
      <c r="R28" s="7">
        <f>+R17-R25</f>
        <v>10549363</v>
      </c>
      <c r="S28" s="7">
        <f t="shared" si="4"/>
        <v>14618591</v>
      </c>
      <c r="T28" s="7">
        <f t="shared" si="4"/>
        <v>6412287</v>
      </c>
      <c r="U28" s="7">
        <f t="shared" si="4"/>
        <v>6489687.042</v>
      </c>
      <c r="V28" s="7">
        <f>+V17-V25</f>
        <v>6003809.271000001</v>
      </c>
      <c r="W28" s="7">
        <f>+W17-W25</f>
        <v>4619809</v>
      </c>
      <c r="X28" s="7">
        <f t="shared" si="4"/>
        <v>4369427.9229999995</v>
      </c>
      <c r="Y28" s="7">
        <f>+Y17-Y25</f>
        <v>6328759.379</v>
      </c>
      <c r="Z28" s="7">
        <f t="shared" si="4"/>
        <v>5288680</v>
      </c>
      <c r="AA28" s="7">
        <f t="shared" si="4"/>
        <v>1943478.131</v>
      </c>
      <c r="AB28" s="7">
        <f t="shared" si="4"/>
        <v>4248668</v>
      </c>
      <c r="AC28" s="7">
        <f t="shared" si="4"/>
        <v>895106.1</v>
      </c>
      <c r="AD28" s="7">
        <f t="shared" si="4"/>
        <v>2371051</v>
      </c>
      <c r="AE28" s="7">
        <f t="shared" si="4"/>
        <v>547168</v>
      </c>
      <c r="AF28" s="7">
        <f t="shared" si="4"/>
        <v>1251729</v>
      </c>
      <c r="AG28" s="7">
        <f t="shared" si="4"/>
        <v>2025958</v>
      </c>
      <c r="AH28" s="7">
        <f>+AH17-AH25</f>
        <v>1567984</v>
      </c>
      <c r="AI28" s="7">
        <f t="shared" si="4"/>
        <v>594229</v>
      </c>
      <c r="AJ28" s="7">
        <f t="shared" si="4"/>
        <v>260805.25199999998</v>
      </c>
      <c r="AK28" s="7">
        <f t="shared" si="4"/>
        <v>912904</v>
      </c>
      <c r="AL28" s="7">
        <f t="shared" si="4"/>
        <v>359933</v>
      </c>
      <c r="AM28" s="7">
        <f t="shared" si="4"/>
        <v>623552</v>
      </c>
      <c r="AN28" s="7">
        <f t="shared" si="4"/>
        <v>500167</v>
      </c>
      <c r="AO28" s="7">
        <f t="shared" si="4"/>
        <v>87172.48599999999</v>
      </c>
      <c r="AP28" s="7">
        <f t="shared" si="4"/>
        <v>155756</v>
      </c>
      <c r="AQ28" s="7">
        <f t="shared" si="4"/>
        <v>305061</v>
      </c>
      <c r="AR28" s="7">
        <f t="shared" si="4"/>
        <v>38541.901</v>
      </c>
      <c r="AS28" s="7">
        <f t="shared" si="4"/>
        <v>15065.72299999999</v>
      </c>
      <c r="AT28" s="7">
        <f t="shared" si="4"/>
        <v>60245</v>
      </c>
      <c r="AU28" s="7">
        <f t="shared" si="4"/>
        <v>3850</v>
      </c>
      <c r="AV28" s="7">
        <f>+AV17-AV25</f>
        <v>-323</v>
      </c>
      <c r="AW28" s="7">
        <f t="shared" si="4"/>
        <v>888</v>
      </c>
      <c r="AX28" s="7"/>
      <c r="AY28" s="7">
        <f>SUM(B28:AW28)</f>
        <v>455136862.63390017</v>
      </c>
      <c r="AZ28" s="7"/>
      <c r="BA28" s="7"/>
      <c r="BB28" s="8"/>
    </row>
    <row r="29" spans="1:54" ht="8.25" customHeight="1">
      <c r="A29" s="9"/>
      <c r="C29" s="126"/>
      <c r="D29" s="79"/>
      <c r="E29" s="11"/>
      <c r="F29" s="11"/>
      <c r="N29" s="19"/>
      <c r="Q29" s="11"/>
      <c r="R29" s="65"/>
      <c r="S29" s="11"/>
      <c r="T29" s="11"/>
      <c r="U29" s="11"/>
      <c r="X29" s="11"/>
      <c r="Z29" s="11"/>
      <c r="AB29" s="11"/>
      <c r="AC29" s="19"/>
      <c r="AF29" s="11"/>
      <c r="AG29" s="11"/>
      <c r="AH29" s="7"/>
      <c r="AI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W29" s="11"/>
      <c r="AY29" s="7"/>
      <c r="AZ29" s="7"/>
      <c r="BA29" s="7"/>
      <c r="BB29" s="8"/>
    </row>
    <row r="30" spans="1:54" ht="12.75">
      <c r="A30" s="9" t="s">
        <v>337</v>
      </c>
      <c r="C30" s="126"/>
      <c r="D30" s="79"/>
      <c r="E30" s="11"/>
      <c r="F30" s="11"/>
      <c r="N30" s="19"/>
      <c r="Q30" s="11"/>
      <c r="R30" s="65"/>
      <c r="S30" s="11"/>
      <c r="T30" s="11"/>
      <c r="U30" s="11"/>
      <c r="X30" s="11"/>
      <c r="Z30" s="11"/>
      <c r="AB30" s="11"/>
      <c r="AC30" s="19"/>
      <c r="AF30" s="11"/>
      <c r="AG30" s="11"/>
      <c r="AH30" s="11"/>
      <c r="AI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W30" s="11"/>
      <c r="AY30" s="7"/>
      <c r="AZ30" s="7"/>
      <c r="BA30" s="7"/>
      <c r="BB30" s="8"/>
    </row>
    <row r="31" spans="1:54" ht="12.75">
      <c r="A31" s="10" t="s">
        <v>338</v>
      </c>
      <c r="B31" s="8">
        <f>+'4.1. Samtryggingard.'!B146+'4.1. Samtryggingard.'!C146+'5.1. Séreignard.'!B150+'5.1. Séreignard.'!C150+'5.1. Séreignard.'!D150</f>
        <v>69147932</v>
      </c>
      <c r="C31" s="126">
        <f>+'4.1. Samtryggingard.'!D146+'5.1. Séreignard.'!E150</f>
        <v>17786996</v>
      </c>
      <c r="D31" s="79">
        <f>+'4.1. Samtryggingard.'!E146+'5.1. Séreignard.'!F150+'5.1. Séreignard.'!G150</f>
        <v>14728608.427</v>
      </c>
      <c r="E31" s="79">
        <f>+'4.1. Samtryggingard.'!F146+'5.1. Séreignard.'!H150+'5.1. Séreignard.'!I150+'5.1. Séreignard.'!J150</f>
        <v>14529637</v>
      </c>
      <c r="F31" s="79">
        <f>+'4.1. Samtryggingard.'!G146+'4.1. Samtryggingard.'!H146+'5.1. Séreignard.'!K150+'5.1. Séreignard.'!L150</f>
        <v>15023141</v>
      </c>
      <c r="G31" s="8">
        <f>+'4.1. Samtryggingard.'!I146+'5.1. Séreignard.'!M150+'5.1. Séreignard.'!N150</f>
        <v>9010996.204</v>
      </c>
      <c r="H31" s="8">
        <f>+'4.1. Samtryggingard.'!J146+'5.1. Séreignard.'!O150+'5.1. Séreignard.'!P150+'5.1. Séreignard.'!Q150</f>
        <v>10160472</v>
      </c>
      <c r="I31" s="8">
        <f>+'4.1. Samtryggingard.'!K146+'5.1. Séreignard.'!R150</f>
        <v>2149158</v>
      </c>
      <c r="J31" s="8">
        <f>+'4.1. Samtryggingard.'!L146+'5.1. Séreignard.'!S150+'5.1. Séreignard.'!T150+'5.1. Séreignard.'!U150+'5.1. Séreignard.'!V150</f>
        <v>12276803.636</v>
      </c>
      <c r="K31" s="8">
        <f>+'4.1. Samtryggingard.'!M146+'5.1. Séreignard.'!W150+'5.1. Séreignard.'!X150</f>
        <v>3018538</v>
      </c>
      <c r="L31" s="8">
        <f>+'4.1. Samtryggingard.'!N146+'4.1. Samtryggingard.'!O146</f>
        <v>9817548</v>
      </c>
      <c r="M31" s="8">
        <f>+'4.1. Samtryggingard.'!P146+'4.1. Samtryggingard.'!Q146+'5.1. Séreignard.'!Y150</f>
        <v>4587767</v>
      </c>
      <c r="N31" s="79">
        <f>+'4.1. Samtryggingard.'!R146</f>
        <v>2650195</v>
      </c>
      <c r="O31" s="8">
        <f>+'4.1. Samtryggingard.'!S146+'5.1. Séreignard.'!Z150</f>
        <v>3102306</v>
      </c>
      <c r="P31" s="8">
        <f>+'4.1. Samtryggingard.'!T146+'5.1. Séreignard.'!AA150</f>
        <v>3244698.694</v>
      </c>
      <c r="Q31" s="8">
        <f>+'4.1. Samtryggingard.'!U146+'5.1. Séreignard.'!AB150</f>
        <v>628519.7660000001</v>
      </c>
      <c r="R31" s="79">
        <f>+'4.1. Samtryggingard.'!V146</f>
        <v>6784457.4</v>
      </c>
      <c r="S31" s="79">
        <f>+'4.1. Samtryggingard.'!W146</f>
        <v>8666229</v>
      </c>
      <c r="T31" s="79">
        <f>+'4.1. Samtryggingard.'!X146+'5.1. Séreignard.'!AC150+'5.1. Séreignard.'!AD150</f>
        <v>2599131</v>
      </c>
      <c r="U31" s="79">
        <f>+'4.1. Samtryggingard.'!Y146</f>
        <v>5287546.61</v>
      </c>
      <c r="V31" s="8">
        <f>+'4.1. Samtryggingard.'!Z146+'4.1. Samtryggingard.'!AA146+'5.1. Séreignard.'!AE150+'5.1. Séreignard.'!AF150+'5.1. Séreignard.'!AG150</f>
        <v>2856158.763</v>
      </c>
      <c r="W31" s="8">
        <f>+'4.1. Samtryggingard.'!AB146+'5.1. Séreignard.'!AH150</f>
        <v>849534</v>
      </c>
      <c r="X31" s="79">
        <f>+'4.1. Samtryggingard.'!AC146</f>
        <v>590867.119</v>
      </c>
      <c r="Y31" s="8">
        <f>+'4.1. Samtryggingard.'!AD146+'5.1. Séreignard.'!AI150+'5.1. Séreignard.'!AJ150+'5.1. Séreignard.'!AK150+'5.1. Séreignard.'!AL150</f>
        <v>5904453.55</v>
      </c>
      <c r="Z31" s="79">
        <f>+'4.1. Samtryggingard.'!AE146</f>
        <v>4172373</v>
      </c>
      <c r="AA31" s="8">
        <f>+'4.1. Samtryggingard.'!AF146</f>
        <v>437678.64</v>
      </c>
      <c r="AB31" s="8">
        <f>+'4.1. Samtryggingard.'!AG146</f>
        <v>2331108</v>
      </c>
      <c r="AC31" s="8">
        <f>+'4.1. Samtryggingard.'!AH146</f>
        <v>631681</v>
      </c>
      <c r="AD31" s="8">
        <f>+'4.1. Samtryggingard.'!AI146+'4.1. Samtryggingard.'!AJ146</f>
        <v>1521038</v>
      </c>
      <c r="AE31" s="8">
        <f>+'4.1. Samtryggingard.'!AK146+'5.1. Séreignard.'!AM150</f>
        <v>1072553</v>
      </c>
      <c r="AF31" s="79">
        <f>+'4.1. Samtryggingard.'!AL146</f>
        <v>579085</v>
      </c>
      <c r="AG31" s="79">
        <f>+'4.1. Samtryggingard.'!AM146</f>
        <v>1800460</v>
      </c>
      <c r="AH31" s="79">
        <f>+'4.1. Samtryggingard.'!AN146+'5.1. Séreignard.'!AN150</f>
        <v>1561593</v>
      </c>
      <c r="AI31" s="79">
        <f>+'4.1. Samtryggingard.'!AO146</f>
        <v>352378</v>
      </c>
      <c r="AJ31" s="8">
        <f>+'4.1. Samtryggingard.'!AP146</f>
        <v>125119.125</v>
      </c>
      <c r="AK31" s="8">
        <f>+'4.1. Samtryggingard.'!AQ146</f>
        <v>889216</v>
      </c>
      <c r="AL31" s="8">
        <f>+'4.1. Samtryggingard.'!AR146</f>
        <v>152151</v>
      </c>
      <c r="AM31" s="8">
        <f>+'4.1. Samtryggingard.'!AS146</f>
        <v>622476</v>
      </c>
      <c r="AN31" s="8">
        <f>+'4.1. Samtryggingard.'!AT146</f>
        <v>482319</v>
      </c>
      <c r="AO31" s="8">
        <f>+'4.1. Samtryggingard.'!AU146</f>
        <v>405.036</v>
      </c>
      <c r="AP31" s="8">
        <f>+'4.1. Samtryggingard.'!AV146</f>
        <v>128324</v>
      </c>
      <c r="AQ31" s="8">
        <f>+'4.1. Samtryggingard.'!AW146</f>
        <v>307155</v>
      </c>
      <c r="AR31" s="8">
        <f>+'4.1. Samtryggingard.'!AX146</f>
        <v>0</v>
      </c>
      <c r="AS31" s="8">
        <f>+'4.1. Samtryggingard.'!AY146</f>
        <v>67193.349</v>
      </c>
      <c r="AT31" s="8">
        <f>+'4.1. Samtryggingard.'!AZ146</f>
        <v>24100</v>
      </c>
      <c r="AU31" s="8">
        <f>+'4.1. Samtryggingard.'!BA146</f>
        <v>0</v>
      </c>
      <c r="AV31" s="8">
        <f>+'4.1. Samtryggingard.'!BB146</f>
        <v>0</v>
      </c>
      <c r="AW31" s="8">
        <f>+'4.1. Samtryggingard.'!BC146</f>
        <v>0</v>
      </c>
      <c r="AX31" s="8"/>
      <c r="AY31" s="7">
        <f aca="true" t="shared" si="5" ref="AY31:AY38">SUM(B31:AW31)</f>
        <v>242660100.31900007</v>
      </c>
      <c r="AZ31" s="7"/>
      <c r="BA31" s="7"/>
      <c r="BB31" s="8"/>
    </row>
    <row r="32" spans="1:54" ht="12.75">
      <c r="A32" s="10" t="s">
        <v>339</v>
      </c>
      <c r="B32" s="8">
        <f>+'4.1. Samtryggingard.'!B147+'4.1. Samtryggingard.'!C147+'5.1. Séreignard.'!B151+'5.1. Séreignard.'!C151+'5.1. Séreignard.'!D151</f>
        <v>41855506.4</v>
      </c>
      <c r="C32" s="126">
        <f>+'4.1. Samtryggingard.'!D147+'5.1. Séreignard.'!E151</f>
        <v>16703667</v>
      </c>
      <c r="D32" s="79">
        <f>+'4.1. Samtryggingard.'!E147+'5.1. Séreignard.'!F151+'5.1. Séreignard.'!G151</f>
        <v>19478370.433</v>
      </c>
      <c r="E32" s="79">
        <f>+'4.1. Samtryggingard.'!F147+'5.1. Séreignard.'!H151+'5.1. Séreignard.'!I151+'5.1. Séreignard.'!J151</f>
        <v>4749372</v>
      </c>
      <c r="F32" s="79">
        <f>+'4.1. Samtryggingard.'!G147+'4.1. Samtryggingard.'!H147+'5.1. Séreignard.'!K151+'5.1. Séreignard.'!L151</f>
        <v>13027595</v>
      </c>
      <c r="G32" s="8">
        <f>+'4.1. Samtryggingard.'!I147+'5.1. Séreignard.'!M151+'5.1. Séreignard.'!N151</f>
        <v>17363898.424000002</v>
      </c>
      <c r="H32" s="8">
        <f>+'4.1. Samtryggingard.'!J147+'5.1. Séreignard.'!O151+'5.1. Séreignard.'!P151+'5.1. Séreignard.'!Q151</f>
        <v>9757810.4</v>
      </c>
      <c r="I32" s="8">
        <f>+'4.1. Samtryggingard.'!K147+'5.1. Séreignard.'!R151</f>
        <v>2227140</v>
      </c>
      <c r="J32" s="8">
        <f>+'4.1. Samtryggingard.'!L147+'5.1. Séreignard.'!S151+'5.1. Séreignard.'!T151+'5.1. Séreignard.'!U151+'5.1. Séreignard.'!V151</f>
        <v>2165708.6954610003</v>
      </c>
      <c r="K32" s="8">
        <f>+'4.1. Samtryggingard.'!M147+'5.1. Séreignard.'!W151+'5.1. Séreignard.'!X151</f>
        <v>3173266</v>
      </c>
      <c r="L32" s="8">
        <f>+'4.1. Samtryggingard.'!N147+'4.1. Samtryggingard.'!O147</f>
        <v>7992840</v>
      </c>
      <c r="M32" s="8">
        <f>+'4.1. Samtryggingard.'!P147+'4.1. Samtryggingard.'!Q147+'5.1. Séreignard.'!Y151</f>
        <v>6397644</v>
      </c>
      <c r="N32" s="79">
        <f>+'4.1. Samtryggingard.'!R147</f>
        <v>1623065</v>
      </c>
      <c r="O32" s="8">
        <f>+'4.1. Samtryggingard.'!S147+'5.1. Séreignard.'!Z151</f>
        <v>4037163</v>
      </c>
      <c r="P32" s="8">
        <f>+'4.1. Samtryggingard.'!T147+'5.1. Séreignard.'!AA151</f>
        <v>4900920.559</v>
      </c>
      <c r="Q32" s="8">
        <f>+'4.1. Samtryggingard.'!U147+'5.1. Séreignard.'!AB151</f>
        <v>2045888.6940000001</v>
      </c>
      <c r="R32" s="79">
        <f>+'4.1. Samtryggingard.'!V147</f>
        <v>3250310.4</v>
      </c>
      <c r="S32" s="79">
        <f>+'4.1. Samtryggingard.'!W147</f>
        <v>5693751</v>
      </c>
      <c r="T32" s="79">
        <f>+'4.1. Samtryggingard.'!X147+'5.1. Séreignard.'!AC151+'5.1. Séreignard.'!AD151</f>
        <v>3794021</v>
      </c>
      <c r="U32" s="79">
        <f>+'4.1. Samtryggingard.'!Y147</f>
        <v>1045949.479</v>
      </c>
      <c r="V32" s="8">
        <f>+'4.1. Samtryggingard.'!Z147+'4.1. Samtryggingard.'!AA147+'5.1. Séreignard.'!AE151+'5.1. Séreignard.'!AF151+'5.1. Séreignard.'!AG151</f>
        <v>2598208.897</v>
      </c>
      <c r="W32" s="8">
        <f>+'4.1. Samtryggingard.'!AB147+'5.1. Séreignard.'!AH151</f>
        <v>3760496</v>
      </c>
      <c r="X32" s="79">
        <f>+'4.1. Samtryggingard.'!AC147</f>
        <v>3684101.048</v>
      </c>
      <c r="Y32" s="8">
        <f>+'4.1. Samtryggingard.'!AD147+'5.1. Séreignard.'!AI151+'5.1. Séreignard.'!AJ151+'5.1. Séreignard.'!AK151+'5.1. Séreignard.'!AL151</f>
        <v>264353.047</v>
      </c>
      <c r="Z32" s="79">
        <f>+'4.1. Samtryggingard.'!AE147</f>
        <v>918255</v>
      </c>
      <c r="AA32" s="8">
        <f>+'4.1. Samtryggingard.'!AF147</f>
        <v>1268700.811</v>
      </c>
      <c r="AB32" s="8">
        <f>+'4.1. Samtryggingard.'!AG147</f>
        <v>1919764</v>
      </c>
      <c r="AC32" s="8">
        <f>+'4.1. Samtryggingard.'!AH147</f>
        <v>267542</v>
      </c>
      <c r="AD32" s="8">
        <f>+'4.1. Samtryggingard.'!AI147+'4.1. Samtryggingard.'!AJ147</f>
        <v>830134</v>
      </c>
      <c r="AE32" s="8">
        <f>+'4.1. Samtryggingard.'!AK147+'5.1. Séreignard.'!AM151</f>
        <v>187579</v>
      </c>
      <c r="AF32" s="79">
        <f>+'4.1. Samtryggingard.'!AL147</f>
        <v>599619</v>
      </c>
      <c r="AG32" s="79">
        <f>+'4.1. Samtryggingard.'!AM147</f>
        <v>226023</v>
      </c>
      <c r="AH32" s="79">
        <f>+'4.1. Samtryggingard.'!AN147+'5.1. Séreignard.'!AN151</f>
        <v>0</v>
      </c>
      <c r="AI32" s="79">
        <f>+'4.1. Samtryggingard.'!AO147</f>
        <v>15076</v>
      </c>
      <c r="AJ32" s="8">
        <f>+'4.1. Samtryggingard.'!AP147</f>
        <v>104269.793</v>
      </c>
      <c r="AK32" s="8">
        <f>+'4.1. Samtryggingard.'!AQ147</f>
        <v>25000</v>
      </c>
      <c r="AL32" s="8">
        <f>+'4.1. Samtryggingard.'!AR147</f>
        <v>218747</v>
      </c>
      <c r="AM32" s="8">
        <f>+'4.1. Samtryggingard.'!AS147</f>
        <v>1490</v>
      </c>
      <c r="AN32" s="8">
        <f>+'4.1. Samtryggingard.'!AT147</f>
        <v>19448</v>
      </c>
      <c r="AO32" s="8">
        <f>+'4.1. Samtryggingard.'!AU147</f>
        <v>0</v>
      </c>
      <c r="AP32" s="8">
        <f>+'4.1. Samtryggingard.'!AV147</f>
        <v>25577</v>
      </c>
      <c r="AQ32" s="8">
        <f>+'4.1. Samtryggingard.'!AW147</f>
        <v>0</v>
      </c>
      <c r="AR32" s="8">
        <f>+'4.1. Samtryggingard.'!AX147</f>
        <v>32574</v>
      </c>
      <c r="AS32" s="8">
        <f>+'4.1. Samtryggingard.'!AY147</f>
        <v>-37678.152</v>
      </c>
      <c r="AT32" s="8">
        <f>+'4.1. Samtryggingard.'!AZ147</f>
        <v>15598</v>
      </c>
      <c r="AU32" s="8">
        <f>+'4.1. Samtryggingard.'!BA147</f>
        <v>0</v>
      </c>
      <c r="AV32" s="8">
        <f>+'4.1. Samtryggingard.'!BB147</f>
        <v>0</v>
      </c>
      <c r="AW32" s="8">
        <f>+'4.1. Samtryggingard.'!BC147</f>
        <v>0</v>
      </c>
      <c r="AX32" s="8"/>
      <c r="AY32" s="7">
        <f t="shared" si="5"/>
        <v>188228764.92846102</v>
      </c>
      <c r="AZ32" s="7"/>
      <c r="BA32" s="7"/>
      <c r="BB32" s="8"/>
    </row>
    <row r="33" spans="1:54" ht="12.75">
      <c r="A33" s="10" t="s">
        <v>340</v>
      </c>
      <c r="B33" s="8">
        <f>+'4.1. Samtryggingard.'!B148+'4.1. Samtryggingard.'!C148+'5.1. Séreignard.'!B152+'5.1. Séreignard.'!C152+'5.1. Séreignard.'!D152</f>
        <v>4431120.4</v>
      </c>
      <c r="C33" s="126">
        <f>+'4.1. Samtryggingard.'!D148+'5.1. Séreignard.'!E152</f>
        <v>6286106</v>
      </c>
      <c r="D33" s="79">
        <f>+'4.1. Samtryggingard.'!E148+'5.1. Séreignard.'!F152+'5.1. Séreignard.'!G152</f>
        <v>860466.377</v>
      </c>
      <c r="E33" s="79">
        <f>+'4.1. Samtryggingard.'!F148+'5.1. Séreignard.'!H152+'5.1. Séreignard.'!I152+'5.1. Séreignard.'!J152</f>
        <v>382070</v>
      </c>
      <c r="F33" s="79">
        <f>+'4.1. Samtryggingard.'!G148+'4.1. Samtryggingard.'!H148+'5.1. Séreignard.'!K152+'5.1. Séreignard.'!L152</f>
        <v>2264709</v>
      </c>
      <c r="G33" s="8">
        <f>+'4.1. Samtryggingard.'!I148+'5.1. Séreignard.'!M152+'5.1. Séreignard.'!N152</f>
        <v>210000</v>
      </c>
      <c r="H33" s="8">
        <f>+'4.1. Samtryggingard.'!J148+'5.1. Séreignard.'!O152+'5.1. Séreignard.'!P152+'5.1. Séreignard.'!Q152</f>
        <v>51062</v>
      </c>
      <c r="I33" s="8">
        <f>+'4.1. Samtryggingard.'!K148+'5.1. Séreignard.'!R152</f>
        <v>201829</v>
      </c>
      <c r="J33" s="8">
        <f>+'4.1. Samtryggingard.'!L148+'5.1. Séreignard.'!S152+'5.1. Séreignard.'!T152+'5.1. Séreignard.'!U152+'5.1. Séreignard.'!V152</f>
        <v>0</v>
      </c>
      <c r="K33" s="8">
        <f>+'4.1. Samtryggingard.'!M148+'5.1. Séreignard.'!W152+'5.1. Séreignard.'!X152</f>
        <v>1272094</v>
      </c>
      <c r="L33" s="8">
        <f>+'4.1. Samtryggingard.'!N148+'4.1. Samtryggingard.'!O148</f>
        <v>271048</v>
      </c>
      <c r="M33" s="8">
        <f>+'4.1. Samtryggingard.'!P148+'4.1. Samtryggingard.'!Q148+'5.1. Séreignard.'!Y152</f>
        <v>202417</v>
      </c>
      <c r="N33" s="79">
        <f>+'4.1. Samtryggingard.'!R148</f>
        <v>276381</v>
      </c>
      <c r="O33" s="8">
        <f>+'4.1. Samtryggingard.'!S148+'5.1. Séreignard.'!Z152</f>
        <v>188850</v>
      </c>
      <c r="P33" s="8">
        <f>+'4.1. Samtryggingard.'!T148+'5.1. Séreignard.'!AA152</f>
        <v>147807.111</v>
      </c>
      <c r="Q33" s="8">
        <f>+'4.1. Samtryggingard.'!U148+'5.1. Séreignard.'!AB152</f>
        <v>316442.057</v>
      </c>
      <c r="R33" s="79">
        <f>+'4.1. Samtryggingard.'!V148</f>
        <v>294930</v>
      </c>
      <c r="S33" s="79">
        <f>+'4.1. Samtryggingard.'!W148</f>
        <v>173382</v>
      </c>
      <c r="T33" s="79">
        <f>+'4.1. Samtryggingard.'!X148+'5.1. Séreignard.'!AC152+'5.1. Séreignard.'!AD152</f>
        <v>0</v>
      </c>
      <c r="U33" s="79">
        <f>+'4.1. Samtryggingard.'!Y148</f>
        <v>50282</v>
      </c>
      <c r="V33" s="8">
        <f>+'4.1. Samtryggingard.'!Z148+'4.1. Samtryggingard.'!AA148+'5.1. Séreignard.'!AE152+'5.1. Séreignard.'!AF152+'5.1. Séreignard.'!AG152</f>
        <v>434788.286</v>
      </c>
      <c r="W33" s="8">
        <f>+'4.1. Samtryggingard.'!AB148+'5.1. Séreignard.'!AH152</f>
        <v>0</v>
      </c>
      <c r="X33" s="79">
        <f>+'4.1. Samtryggingard.'!AC148</f>
        <v>79545.493</v>
      </c>
      <c r="Y33" s="8">
        <f>+'4.1. Samtryggingard.'!AD148+'5.1. Séreignard.'!AI152+'5.1. Séreignard.'!AJ152+'5.1. Séreignard.'!AK152+'5.1. Séreignard.'!AL152</f>
        <v>0</v>
      </c>
      <c r="Z33" s="79">
        <f>+'4.1. Samtryggingard.'!AE148</f>
        <v>170217</v>
      </c>
      <c r="AA33" s="8">
        <f>+'4.1. Samtryggingard.'!AF148</f>
        <v>23700</v>
      </c>
      <c r="AB33" s="8">
        <f>+'4.1. Samtryggingard.'!AG148</f>
        <v>33168</v>
      </c>
      <c r="AC33" s="8">
        <f>+'4.1. Samtryggingard.'!AH148</f>
        <v>0</v>
      </c>
      <c r="AD33" s="8">
        <f>+'4.1. Samtryggingard.'!AI148+'4.1. Samtryggingard.'!AJ148</f>
        <v>0</v>
      </c>
      <c r="AE33" s="8">
        <f>+'4.1. Samtryggingard.'!AK148+'5.1. Séreignard.'!AM152</f>
        <v>0</v>
      </c>
      <c r="AF33" s="79">
        <f>+'4.1. Samtryggingard.'!AL148</f>
        <v>7926</v>
      </c>
      <c r="AG33" s="79">
        <f>+'4.1. Samtryggingard.'!AM148</f>
        <v>0</v>
      </c>
      <c r="AH33" s="79">
        <f>+'4.1. Samtryggingard.'!AN148+'5.1. Séreignard.'!AN152</f>
        <v>7500</v>
      </c>
      <c r="AI33" s="79">
        <f>+'4.1. Samtryggingard.'!AO148</f>
        <v>235172</v>
      </c>
      <c r="AJ33" s="8">
        <f>+'4.1. Samtryggingard.'!AP148</f>
        <v>30250</v>
      </c>
      <c r="AK33" s="8">
        <f>+'4.1. Samtryggingard.'!AQ148</f>
        <v>0</v>
      </c>
      <c r="AL33" s="8">
        <f>+'4.1. Samtryggingard.'!AR148</f>
        <v>5600</v>
      </c>
      <c r="AM33" s="8">
        <f>+'4.1. Samtryggingard.'!AS148</f>
        <v>0</v>
      </c>
      <c r="AN33" s="8">
        <f>+'4.1. Samtryggingard.'!AT148</f>
        <v>0</v>
      </c>
      <c r="AO33" s="8">
        <f>+'4.1. Samtryggingard.'!AU148</f>
        <v>0</v>
      </c>
      <c r="AP33" s="8">
        <f>+'4.1. Samtryggingard.'!AV148</f>
        <v>7135</v>
      </c>
      <c r="AQ33" s="8">
        <f>+'4.1. Samtryggingard.'!AW148</f>
        <v>0</v>
      </c>
      <c r="AR33" s="8">
        <f>+'4.1. Samtryggingard.'!AX148</f>
        <v>0</v>
      </c>
      <c r="AS33" s="8">
        <f>+'4.1. Samtryggingard.'!AY148</f>
        <v>0</v>
      </c>
      <c r="AT33" s="8">
        <f>+'4.1. Samtryggingard.'!AZ148</f>
        <v>0</v>
      </c>
      <c r="AU33" s="8">
        <f>+'4.1. Samtryggingard.'!BA148</f>
        <v>0</v>
      </c>
      <c r="AV33" s="8">
        <f>+'4.1. Samtryggingard.'!BB148</f>
        <v>0</v>
      </c>
      <c r="AW33" s="8">
        <f>+'4.1. Samtryggingard.'!BC148</f>
        <v>0</v>
      </c>
      <c r="AX33" s="8"/>
      <c r="AY33" s="7">
        <f t="shared" si="5"/>
        <v>18915997.724000003</v>
      </c>
      <c r="AZ33" s="7"/>
      <c r="BA33" s="7"/>
      <c r="BB33" s="8"/>
    </row>
    <row r="34" spans="1:54" ht="12.75">
      <c r="A34" s="10" t="s">
        <v>341</v>
      </c>
      <c r="B34" s="8">
        <f>+'4.1. Samtryggingard.'!B149+'4.1. Samtryggingard.'!C149+'5.1. Séreignard.'!B153+'5.1. Séreignard.'!C153+'5.1. Séreignard.'!D153</f>
        <v>0</v>
      </c>
      <c r="C34" s="126">
        <f>+'4.1. Samtryggingard.'!D149+'5.1. Séreignard.'!E153</f>
        <v>0</v>
      </c>
      <c r="D34" s="79">
        <f>+'4.1. Samtryggingard.'!E149+'5.1. Séreignard.'!F153+'5.1. Séreignard.'!G153</f>
        <v>0</v>
      </c>
      <c r="E34" s="79">
        <f>+'4.1. Samtryggingard.'!F149+'5.1. Séreignard.'!H153+'5.1. Séreignard.'!I153+'5.1. Séreignard.'!J153</f>
        <v>7237</v>
      </c>
      <c r="F34" s="79">
        <f>+'4.1. Samtryggingard.'!G149+'4.1. Samtryggingard.'!H149+'5.1. Séreignard.'!K153+'5.1. Séreignard.'!L153</f>
        <v>0</v>
      </c>
      <c r="G34" s="8">
        <f>+'4.1. Samtryggingard.'!I149+'5.1. Séreignard.'!M153+'5.1. Séreignard.'!N153</f>
        <v>0</v>
      </c>
      <c r="H34" s="8">
        <f>+'4.1. Samtryggingard.'!J149+'5.1. Séreignard.'!O153+'5.1. Séreignard.'!P153+'5.1. Séreignard.'!Q153</f>
        <v>870688.5</v>
      </c>
      <c r="I34" s="8">
        <f>+'4.1. Samtryggingard.'!K149+'5.1. Séreignard.'!R153</f>
        <v>0</v>
      </c>
      <c r="J34" s="8">
        <f>+'4.1. Samtryggingard.'!L149+'5.1. Séreignard.'!S153+'5.1. Séreignard.'!T153+'5.1. Séreignard.'!U153+'5.1. Séreignard.'!V153</f>
        <v>301012.349</v>
      </c>
      <c r="K34" s="8">
        <f>+'4.1. Samtryggingard.'!M149+'5.1. Séreignard.'!W153+'5.1. Séreignard.'!X153</f>
        <v>0</v>
      </c>
      <c r="L34" s="8">
        <f>+'4.1. Samtryggingard.'!N149+'4.1. Samtryggingard.'!O149</f>
        <v>0</v>
      </c>
      <c r="M34" s="8">
        <f>+'4.1. Samtryggingard.'!P149+'4.1. Samtryggingard.'!Q149+'5.1. Séreignard.'!Y153</f>
        <v>15996</v>
      </c>
      <c r="N34" s="79">
        <f>+'4.1. Samtryggingard.'!R149</f>
        <v>0</v>
      </c>
      <c r="O34" s="8">
        <f>+'4.1. Samtryggingard.'!S149+'5.1. Séreignard.'!Z153</f>
        <v>0</v>
      </c>
      <c r="P34" s="8">
        <f>+'4.1. Samtryggingard.'!T149+'5.1. Séreignard.'!AA153</f>
        <v>0</v>
      </c>
      <c r="Q34" s="8">
        <f>+'4.1. Samtryggingard.'!U149+'5.1. Séreignard.'!AB153</f>
        <v>-0.9329999999999927</v>
      </c>
      <c r="R34" s="79">
        <f>+'4.1. Samtryggingard.'!V149</f>
        <v>0</v>
      </c>
      <c r="S34" s="79">
        <f>+'4.1. Samtryggingard.'!W149</f>
        <v>0</v>
      </c>
      <c r="T34" s="79">
        <f>+'4.1. Samtryggingard.'!X149+'5.1. Séreignard.'!AC153+'5.1. Séreignard.'!AD153</f>
        <v>0</v>
      </c>
      <c r="U34" s="79">
        <f>+'4.1. Samtryggingard.'!Y149</f>
        <v>0</v>
      </c>
      <c r="V34" s="8">
        <f>+'4.1. Samtryggingard.'!Z149+'4.1. Samtryggingard.'!AA149+'5.1. Séreignard.'!AE153+'5.1. Séreignard.'!AF153+'5.1. Séreignard.'!AG153</f>
        <v>113550.89</v>
      </c>
      <c r="W34" s="8">
        <f>+'4.1. Samtryggingard.'!AB149+'5.1. Séreignard.'!AH153</f>
        <v>18709</v>
      </c>
      <c r="X34" s="79">
        <f>+'4.1. Samtryggingard.'!AC149</f>
        <v>0</v>
      </c>
      <c r="Y34" s="8">
        <f>+'4.1. Samtryggingard.'!AD149+'5.1. Séreignard.'!AI153+'5.1. Séreignard.'!AJ153+'5.1. Séreignard.'!AK153+'5.1. Séreignard.'!AL153</f>
        <v>159688.712</v>
      </c>
      <c r="Z34" s="79">
        <f>+'4.1. Samtryggingard.'!AE149</f>
        <v>0</v>
      </c>
      <c r="AA34" s="8">
        <f>+'4.1. Samtryggingard.'!AF149</f>
        <v>0</v>
      </c>
      <c r="AB34" s="8">
        <f>+'4.1. Samtryggingard.'!AG149</f>
        <v>0</v>
      </c>
      <c r="AC34" s="8">
        <f>+'4.1. Samtryggingard.'!AH149</f>
        <v>0</v>
      </c>
      <c r="AD34" s="8">
        <f>+'4.1. Samtryggingard.'!AI149+'4.1. Samtryggingard.'!AJ149</f>
        <v>0</v>
      </c>
      <c r="AE34" s="8">
        <f>+'4.1. Samtryggingard.'!AK149+'5.1. Séreignard.'!AM153</f>
        <v>0</v>
      </c>
      <c r="AF34" s="79">
        <f>+'4.1. Samtryggingard.'!AL149</f>
        <v>0</v>
      </c>
      <c r="AG34" s="79">
        <f>+'4.1. Samtryggingard.'!AM149</f>
        <v>0</v>
      </c>
      <c r="AH34" s="79">
        <f>+'4.1. Samtryggingard.'!AN149+'5.1. Séreignard.'!AN153</f>
        <v>0</v>
      </c>
      <c r="AI34" s="79">
        <f>+'4.1. Samtryggingard.'!AO149</f>
        <v>0</v>
      </c>
      <c r="AJ34" s="8">
        <f>+'4.1. Samtryggingard.'!AP149</f>
        <v>0</v>
      </c>
      <c r="AK34" s="8">
        <f>+'4.1. Samtryggingard.'!AQ149</f>
        <v>0</v>
      </c>
      <c r="AL34" s="8">
        <f>+'4.1. Samtryggingard.'!AR149</f>
        <v>0</v>
      </c>
      <c r="AM34" s="8">
        <f>+'4.1. Samtryggingard.'!AS149</f>
        <v>0</v>
      </c>
      <c r="AN34" s="8">
        <f>+'4.1. Samtryggingard.'!AT149</f>
        <v>0</v>
      </c>
      <c r="AO34" s="8">
        <f>+'4.1. Samtryggingard.'!AU149</f>
        <v>85417.244</v>
      </c>
      <c r="AP34" s="8">
        <f>+'4.1. Samtryggingard.'!AV149</f>
        <v>0</v>
      </c>
      <c r="AQ34" s="8">
        <f>+'4.1. Samtryggingard.'!AW149</f>
        <v>0</v>
      </c>
      <c r="AR34" s="8">
        <f>+'4.1. Samtryggingard.'!AX149</f>
        <v>0</v>
      </c>
      <c r="AS34" s="8">
        <f>+'4.1. Samtryggingard.'!AY149</f>
        <v>-11249.367</v>
      </c>
      <c r="AT34" s="8">
        <f>+'4.1. Samtryggingard.'!AZ149</f>
        <v>0</v>
      </c>
      <c r="AU34" s="8">
        <f>+'4.1. Samtryggingard.'!BA149</f>
        <v>0</v>
      </c>
      <c r="AV34" s="8">
        <f>+'4.1. Samtryggingard.'!BB149</f>
        <v>0</v>
      </c>
      <c r="AW34" s="8">
        <f>+'4.1. Samtryggingard.'!BC149</f>
        <v>0</v>
      </c>
      <c r="AX34" s="8"/>
      <c r="AY34" s="7">
        <f t="shared" si="5"/>
        <v>1561049.3949999998</v>
      </c>
      <c r="AZ34" s="7"/>
      <c r="BA34" s="7"/>
      <c r="BB34" s="8"/>
    </row>
    <row r="35" spans="1:54" ht="12.75">
      <c r="A35" s="10" t="s">
        <v>342</v>
      </c>
      <c r="B35" s="8">
        <f>+'4.1. Samtryggingard.'!B150+'4.1. Samtryggingard.'!C150+'5.1. Séreignard.'!B154+'5.1. Séreignard.'!C154+'5.1. Séreignard.'!D154</f>
        <v>0</v>
      </c>
      <c r="C35" s="126">
        <f>+'4.1. Samtryggingard.'!D150+'5.1. Séreignard.'!E154</f>
        <v>14463</v>
      </c>
      <c r="D35" s="79">
        <f>+'4.1. Samtryggingard.'!E150+'5.1. Séreignard.'!F154+'5.1. Séreignard.'!G154</f>
        <v>1928.512</v>
      </c>
      <c r="E35" s="79">
        <f>+'4.1. Samtryggingard.'!F150+'5.1. Séreignard.'!H154+'5.1. Séreignard.'!I154+'5.1. Séreignard.'!J154</f>
        <v>14501</v>
      </c>
      <c r="F35" s="79">
        <f>+'4.1. Samtryggingard.'!G150+'4.1. Samtryggingard.'!H150+'5.1. Séreignard.'!K154+'5.1. Séreignard.'!L154</f>
        <v>0</v>
      </c>
      <c r="G35" s="8">
        <f>+'4.1. Samtryggingard.'!I150+'5.1. Séreignard.'!M154+'5.1. Séreignard.'!N154</f>
        <v>0</v>
      </c>
      <c r="H35" s="8">
        <f>+'4.1. Samtryggingard.'!J150+'5.1. Séreignard.'!O154+'5.1. Séreignard.'!P154+'5.1. Séreignard.'!Q154</f>
        <v>0</v>
      </c>
      <c r="I35" s="8">
        <f>+'4.1. Samtryggingard.'!K150+'5.1. Séreignard.'!R154</f>
        <v>3444</v>
      </c>
      <c r="J35" s="8">
        <f>+'4.1. Samtryggingard.'!L150+'5.1. Séreignard.'!S154+'5.1. Séreignard.'!T154+'5.1. Séreignard.'!U154+'5.1. Séreignard.'!V154</f>
        <v>0</v>
      </c>
      <c r="K35" s="8">
        <f>+'4.1. Samtryggingard.'!M150+'5.1. Séreignard.'!W154+'5.1. Séreignard.'!X154</f>
        <v>11538</v>
      </c>
      <c r="L35" s="8">
        <f>+'4.1. Samtryggingard.'!N150+'4.1. Samtryggingard.'!O150</f>
        <v>0</v>
      </c>
      <c r="M35" s="8">
        <f>+'4.1. Samtryggingard.'!P150+'4.1. Samtryggingard.'!Q150+'5.1. Séreignard.'!Y154</f>
        <v>699</v>
      </c>
      <c r="N35" s="79">
        <f>+'4.1. Samtryggingard.'!R150</f>
        <v>0</v>
      </c>
      <c r="O35" s="8">
        <f>+'4.1. Samtryggingard.'!S150+'5.1. Séreignard.'!Z154</f>
        <v>3940</v>
      </c>
      <c r="P35" s="8">
        <f>+'4.1. Samtryggingard.'!T150+'5.1. Séreignard.'!AA154</f>
        <v>0</v>
      </c>
      <c r="Q35" s="8">
        <f>+'4.1. Samtryggingard.'!U150+'5.1. Séreignard.'!AB154</f>
        <v>1837.498</v>
      </c>
      <c r="R35" s="79">
        <f>+'4.1. Samtryggingard.'!V150</f>
        <v>823</v>
      </c>
      <c r="S35" s="79">
        <f>+'4.1. Samtryggingard.'!W150</f>
        <v>25519</v>
      </c>
      <c r="T35" s="79">
        <f>+'4.1. Samtryggingard.'!X150+'5.1. Séreignard.'!AC154+'5.1. Séreignard.'!AD154</f>
        <v>1250</v>
      </c>
      <c r="U35" s="79">
        <f>+'4.1. Samtryggingard.'!Y150</f>
        <v>2430.052</v>
      </c>
      <c r="V35" s="8">
        <f>+'4.1. Samtryggingard.'!Z150+'4.1. Samtryggingard.'!AA150+'5.1. Séreignard.'!AE154+'5.1. Séreignard.'!AF154+'5.1. Séreignard.'!AG154</f>
        <v>13635.131</v>
      </c>
      <c r="W35" s="8">
        <f>+'4.1. Samtryggingard.'!AB150+'5.1. Séreignard.'!AH154</f>
        <v>900</v>
      </c>
      <c r="X35" s="79">
        <f>+'4.1. Samtryggingard.'!AC150</f>
        <v>0</v>
      </c>
      <c r="Y35" s="8">
        <f>+'4.1. Samtryggingard.'!AD150+'5.1. Séreignard.'!AI154+'5.1. Séreignard.'!AJ154+'5.1. Séreignard.'!AK154+'5.1. Séreignard.'!AL154</f>
        <v>0</v>
      </c>
      <c r="Z35" s="79">
        <f>+'4.1. Samtryggingard.'!AE150</f>
        <v>0</v>
      </c>
      <c r="AA35" s="8">
        <f>+'4.1. Samtryggingard.'!AF150</f>
        <v>0</v>
      </c>
      <c r="AB35" s="8">
        <f>+'4.1. Samtryggingard.'!AG150</f>
        <v>378</v>
      </c>
      <c r="AC35" s="8">
        <f>+'4.1. Samtryggingard.'!AH150</f>
        <v>0</v>
      </c>
      <c r="AD35" s="8">
        <f>+'4.1. Samtryggingard.'!AI150+'4.1. Samtryggingard.'!AJ150</f>
        <v>0</v>
      </c>
      <c r="AE35" s="8">
        <f>+'4.1. Samtryggingard.'!AK150+'5.1. Séreignard.'!AM154</f>
        <v>0</v>
      </c>
      <c r="AF35" s="79">
        <f>+'4.1. Samtryggingard.'!AL150</f>
        <v>0</v>
      </c>
      <c r="AG35" s="79">
        <f>+'4.1. Samtryggingard.'!AM150</f>
        <v>0</v>
      </c>
      <c r="AH35" s="79">
        <f>+'4.1. Samtryggingard.'!AN150+'5.1. Séreignard.'!AN154</f>
        <v>0</v>
      </c>
      <c r="AI35" s="79">
        <f>+'4.1. Samtryggingard.'!AO150</f>
        <v>0</v>
      </c>
      <c r="AJ35" s="8">
        <f>+'4.1. Samtryggingard.'!AP150</f>
        <v>49817</v>
      </c>
      <c r="AK35" s="8">
        <f>+'4.1. Samtryggingard.'!AQ150</f>
        <v>0</v>
      </c>
      <c r="AL35" s="8">
        <f>+'4.1. Samtryggingard.'!AR150</f>
        <v>0</v>
      </c>
      <c r="AM35" s="8">
        <f>+'4.1. Samtryggingard.'!AS150</f>
        <v>0</v>
      </c>
      <c r="AN35" s="8">
        <f>+'4.1. Samtryggingard.'!AT150</f>
        <v>0</v>
      </c>
      <c r="AO35" s="8">
        <f>+'4.1. Samtryggingard.'!AU150</f>
        <v>0</v>
      </c>
      <c r="AP35" s="8">
        <f>+'4.1. Samtryggingard.'!AV150</f>
        <v>0</v>
      </c>
      <c r="AQ35" s="8">
        <f>+'4.1. Samtryggingard.'!AW150</f>
        <v>0</v>
      </c>
      <c r="AR35" s="8">
        <f>+'4.1. Samtryggingard.'!AX150</f>
        <v>0</v>
      </c>
      <c r="AS35" s="8">
        <f>+'4.1. Samtryggingard.'!AY150</f>
        <v>0</v>
      </c>
      <c r="AT35" s="8">
        <f>+'4.1. Samtryggingard.'!AZ150</f>
        <v>0</v>
      </c>
      <c r="AU35" s="8">
        <f>+'4.1. Samtryggingard.'!BA150</f>
        <v>0</v>
      </c>
      <c r="AV35" s="8">
        <f>+'4.1. Samtryggingard.'!BB150</f>
        <v>0</v>
      </c>
      <c r="AW35" s="8">
        <f>+'4.1. Samtryggingard.'!BC150</f>
        <v>0</v>
      </c>
      <c r="AX35" s="8"/>
      <c r="AY35" s="7">
        <f t="shared" si="5"/>
        <v>147103.193</v>
      </c>
      <c r="AZ35" s="7"/>
      <c r="BA35" s="7"/>
      <c r="BB35" s="8"/>
    </row>
    <row r="36" spans="1:54" ht="12.75">
      <c r="A36" s="10" t="s">
        <v>343</v>
      </c>
      <c r="B36" s="8">
        <f>+'4.1. Samtryggingard.'!B151+'4.1. Samtryggingard.'!C151+'5.1. Séreignard.'!B155+'5.1. Séreignard.'!C155+'5.1. Séreignard.'!D155</f>
        <v>7409.9</v>
      </c>
      <c r="C36" s="126">
        <f>+'4.1. Samtryggingard.'!D151+'5.1. Séreignard.'!E155</f>
        <v>0</v>
      </c>
      <c r="D36" s="79">
        <f>+'4.1. Samtryggingard.'!E151+'5.1. Séreignard.'!F155+'5.1. Séreignard.'!G155</f>
        <v>5091.038</v>
      </c>
      <c r="E36" s="79">
        <f>+'4.1. Samtryggingard.'!F151+'5.1. Séreignard.'!H155+'5.1. Séreignard.'!I155+'5.1. Séreignard.'!J155</f>
        <v>823</v>
      </c>
      <c r="F36" s="79">
        <f>+'4.1. Samtryggingard.'!G151+'4.1. Samtryggingard.'!H151+'5.1. Séreignard.'!K155+'5.1. Séreignard.'!L155</f>
        <v>0</v>
      </c>
      <c r="G36" s="8">
        <f>+'4.1. Samtryggingard.'!I151+'5.1. Séreignard.'!M155+'5.1. Séreignard.'!N155</f>
        <v>-0.3</v>
      </c>
      <c r="H36" s="8">
        <f>+'4.1. Samtryggingard.'!J151+'5.1. Séreignard.'!O155+'5.1. Séreignard.'!P155+'5.1. Séreignard.'!Q155</f>
        <v>0</v>
      </c>
      <c r="I36" s="8">
        <f>+'4.1. Samtryggingard.'!K151+'5.1. Séreignard.'!R155</f>
        <v>0</v>
      </c>
      <c r="J36" s="8">
        <f>+'4.1. Samtryggingard.'!L151+'5.1. Séreignard.'!S155+'5.1. Séreignard.'!T155+'5.1. Séreignard.'!U155+'5.1. Séreignard.'!V155</f>
        <v>0</v>
      </c>
      <c r="K36" s="8">
        <f>+'4.1. Samtryggingard.'!M151+'5.1. Séreignard.'!W155+'5.1. Séreignard.'!X155</f>
        <v>0</v>
      </c>
      <c r="L36" s="8">
        <f>+'4.1. Samtryggingard.'!N151+'4.1. Samtryggingard.'!O151</f>
        <v>0</v>
      </c>
      <c r="M36" s="8">
        <f>+'4.1. Samtryggingard.'!P151+'4.1. Samtryggingard.'!Q151+'5.1. Séreignard.'!Y155</f>
        <v>0</v>
      </c>
      <c r="N36" s="79">
        <f>+'4.1. Samtryggingard.'!R151</f>
        <v>0</v>
      </c>
      <c r="O36" s="8">
        <f>+'4.1. Samtryggingard.'!S151+'5.1. Séreignard.'!Z155</f>
        <v>7385</v>
      </c>
      <c r="P36" s="8">
        <f>+'4.1. Samtryggingard.'!T151+'5.1. Séreignard.'!AA155</f>
        <v>0</v>
      </c>
      <c r="Q36" s="8">
        <f>+'4.1. Samtryggingard.'!U151+'5.1. Séreignard.'!AB155</f>
        <v>0</v>
      </c>
      <c r="R36" s="79">
        <f>+'4.1. Samtryggingard.'!V151</f>
        <v>0</v>
      </c>
      <c r="S36" s="79">
        <f>+'4.1. Samtryggingard.'!W151</f>
        <v>0</v>
      </c>
      <c r="T36" s="79">
        <f>+'4.1. Samtryggingard.'!X151+'5.1. Séreignard.'!AC155+'5.1. Séreignard.'!AD155</f>
        <v>0</v>
      </c>
      <c r="U36" s="79">
        <f>+'4.1. Samtryggingard.'!Y151</f>
        <v>0</v>
      </c>
      <c r="V36" s="8">
        <f>+'4.1. Samtryggingard.'!Z151+'4.1. Samtryggingard.'!AA151+'5.1. Séreignard.'!AE155+'5.1. Séreignard.'!AF155+'5.1. Séreignard.'!AG155</f>
        <v>0</v>
      </c>
      <c r="W36" s="8">
        <f>+'4.1. Samtryggingard.'!AB151+'5.1. Séreignard.'!AH155</f>
        <v>0</v>
      </c>
      <c r="X36" s="79">
        <f>+'4.1. Samtryggingard.'!AC151</f>
        <v>0</v>
      </c>
      <c r="Y36" s="8">
        <f>+'4.1. Samtryggingard.'!AD151+'5.1. Séreignard.'!AI155+'5.1. Séreignard.'!AJ155+'5.1. Séreignard.'!AK155+'5.1. Séreignard.'!AL155</f>
        <v>0</v>
      </c>
      <c r="Z36" s="79">
        <f>+'4.1. Samtryggingard.'!AE151</f>
        <v>0</v>
      </c>
      <c r="AA36" s="8">
        <f>+'4.1. Samtryggingard.'!AF151</f>
        <v>0</v>
      </c>
      <c r="AB36" s="8">
        <f>+'4.1. Samtryggingard.'!AG151</f>
        <v>0</v>
      </c>
      <c r="AC36" s="8">
        <f>+'4.1. Samtryggingard.'!AH151</f>
        <v>0</v>
      </c>
      <c r="AD36" s="8">
        <f>+'4.1. Samtryggingard.'!AI151+'4.1. Samtryggingard.'!AJ151</f>
        <v>0</v>
      </c>
      <c r="AE36" s="8">
        <f>+'4.1. Samtryggingard.'!AK151+'5.1. Séreignard.'!AM155</f>
        <v>0</v>
      </c>
      <c r="AF36" s="79">
        <f>+'4.1. Samtryggingard.'!AL151</f>
        <v>0</v>
      </c>
      <c r="AG36" s="79">
        <f>+'4.1. Samtryggingard.'!AM151</f>
        <v>0</v>
      </c>
      <c r="AH36" s="79">
        <f>+'4.1. Samtryggingard.'!AN151+'5.1. Séreignard.'!AN155</f>
        <v>0</v>
      </c>
      <c r="AI36" s="79">
        <f>+'4.1. Samtryggingard.'!AO151</f>
        <v>0</v>
      </c>
      <c r="AJ36" s="8">
        <f>+'4.1. Samtryggingard.'!AP151</f>
        <v>0</v>
      </c>
      <c r="AK36" s="8">
        <f>+'4.1. Samtryggingard.'!AQ151</f>
        <v>0</v>
      </c>
      <c r="AL36" s="8">
        <f>+'4.1. Samtryggingard.'!AR151</f>
        <v>0</v>
      </c>
      <c r="AM36" s="8">
        <f>+'4.1. Samtryggingard.'!AS151</f>
        <v>0</v>
      </c>
      <c r="AN36" s="8">
        <f>+'4.1. Samtryggingard.'!AT151</f>
        <v>0</v>
      </c>
      <c r="AO36" s="8">
        <f>+'4.1. Samtryggingard.'!AU151</f>
        <v>0</v>
      </c>
      <c r="AP36" s="8">
        <f>+'4.1. Samtryggingard.'!AV151</f>
        <v>0</v>
      </c>
      <c r="AQ36" s="8">
        <f>+'4.1. Samtryggingard.'!AW151</f>
        <v>0</v>
      </c>
      <c r="AR36" s="8">
        <f>+'4.1. Samtryggingard.'!AX151</f>
        <v>0</v>
      </c>
      <c r="AS36" s="8">
        <f>+'4.1. Samtryggingard.'!AY151</f>
        <v>0</v>
      </c>
      <c r="AT36" s="8">
        <f>+'4.1. Samtryggingard.'!AZ151</f>
        <v>0</v>
      </c>
      <c r="AU36" s="8">
        <f>+'4.1. Samtryggingard.'!BA151</f>
        <v>0</v>
      </c>
      <c r="AV36" s="8">
        <f>+'4.1. Samtryggingard.'!BB151</f>
        <v>0</v>
      </c>
      <c r="AW36" s="8">
        <f>+'4.1. Samtryggingard.'!BC151</f>
        <v>0</v>
      </c>
      <c r="AX36" s="8"/>
      <c r="AY36" s="7">
        <f t="shared" si="5"/>
        <v>20708.638</v>
      </c>
      <c r="AZ36" s="7"/>
      <c r="BA36" s="7"/>
      <c r="BB36" s="8"/>
    </row>
    <row r="37" spans="1:54" ht="12.75">
      <c r="A37" s="10" t="s">
        <v>344</v>
      </c>
      <c r="B37" s="8">
        <f>+'4.1. Samtryggingard.'!B152+'4.1. Samtryggingard.'!C152+'5.1. Séreignard.'!B156+'5.1. Séreignard.'!C156+'5.1. Séreignard.'!D156</f>
        <v>0</v>
      </c>
      <c r="C37" s="126">
        <f>+'4.1. Samtryggingard.'!D152+'5.1. Séreignard.'!E156</f>
        <v>0</v>
      </c>
      <c r="D37" s="79">
        <f>+'4.1. Samtryggingard.'!E152+'5.1. Séreignard.'!F156+'5.1. Séreignard.'!G156</f>
        <v>0</v>
      </c>
      <c r="E37" s="79">
        <f>+'4.1. Samtryggingard.'!F152+'5.1. Séreignard.'!H156+'5.1. Séreignard.'!I156+'5.1. Séreignard.'!J156</f>
        <v>0</v>
      </c>
      <c r="F37" s="79">
        <f>+'4.1. Samtryggingard.'!G152+'4.1. Samtryggingard.'!H152+'5.1. Séreignard.'!K156+'5.1. Séreignard.'!L156</f>
        <v>0</v>
      </c>
      <c r="G37" s="8">
        <f>+'4.1. Samtryggingard.'!I152+'5.1. Séreignard.'!M156+'5.1. Séreignard.'!N156</f>
        <v>-0.3</v>
      </c>
      <c r="H37" s="8">
        <f>+'4.1. Samtryggingard.'!J152+'5.1. Séreignard.'!O156+'5.1. Séreignard.'!P156+'5.1. Séreignard.'!Q156</f>
        <v>0</v>
      </c>
      <c r="I37" s="8">
        <f>+'4.1. Samtryggingard.'!K152+'5.1. Séreignard.'!R156</f>
        <v>0</v>
      </c>
      <c r="J37" s="8">
        <f>+'4.1. Samtryggingard.'!L152+'5.1. Séreignard.'!S156+'5.1. Séreignard.'!T156+'5.1. Séreignard.'!U156+'5.1. Séreignard.'!V156</f>
        <v>0</v>
      </c>
      <c r="K37" s="8">
        <f>+'4.1. Samtryggingard.'!M152+'5.1. Séreignard.'!W156+'5.1. Séreignard.'!X156</f>
        <v>0</v>
      </c>
      <c r="L37" s="8">
        <f>+'4.1. Samtryggingard.'!N152+'4.1. Samtryggingard.'!O152</f>
        <v>0</v>
      </c>
      <c r="M37" s="8">
        <f>+'4.1. Samtryggingard.'!P152+'4.1. Samtryggingard.'!Q152+'5.1. Séreignard.'!Y156</f>
        <v>0</v>
      </c>
      <c r="N37" s="79">
        <f>+'4.1. Samtryggingard.'!R152</f>
        <v>0</v>
      </c>
      <c r="O37" s="8">
        <f>+'4.1. Samtryggingard.'!S152+'5.1. Séreignard.'!Z156</f>
        <v>33000</v>
      </c>
      <c r="P37" s="8">
        <f>+'4.1. Samtryggingard.'!T152+'5.1. Séreignard.'!AA156</f>
        <v>0</v>
      </c>
      <c r="Q37" s="8">
        <f>+'4.1. Samtryggingard.'!U152+'5.1. Séreignard.'!AB156</f>
        <v>0</v>
      </c>
      <c r="R37" s="79">
        <f>+'4.1. Samtryggingard.'!V152</f>
        <v>0</v>
      </c>
      <c r="S37" s="79">
        <f>+'4.1. Samtryggingard.'!W152</f>
        <v>0</v>
      </c>
      <c r="T37" s="79">
        <f>+'4.1. Samtryggingard.'!X152+'5.1. Séreignard.'!AC156+'5.1. Séreignard.'!AD156</f>
        <v>0</v>
      </c>
      <c r="U37" s="79">
        <f>+'4.1. Samtryggingard.'!Y152</f>
        <v>0</v>
      </c>
      <c r="V37" s="8">
        <f>+'4.1. Samtryggingard.'!Z152+'4.1. Samtryggingard.'!AA152+'5.1. Séreignard.'!AE156+'5.1. Séreignard.'!AF156+'5.1. Séreignard.'!AG156</f>
        <v>0</v>
      </c>
      <c r="W37" s="8">
        <f>+'4.1. Samtryggingard.'!AB152+'5.1. Séreignard.'!AH156</f>
        <v>0</v>
      </c>
      <c r="X37" s="79">
        <f>+'4.1. Samtryggingard.'!AC152</f>
        <v>0</v>
      </c>
      <c r="Y37" s="8">
        <f>+'4.1. Samtryggingard.'!AD152+'5.1. Séreignard.'!AI156+'5.1. Séreignard.'!AJ156+'5.1. Séreignard.'!AK156+'5.1. Séreignard.'!AL156</f>
        <v>0</v>
      </c>
      <c r="Z37" s="79">
        <f>+'4.1. Samtryggingard.'!AE152</f>
        <v>0</v>
      </c>
      <c r="AA37" s="8">
        <f>+'4.1. Samtryggingard.'!AF152</f>
        <v>0</v>
      </c>
      <c r="AB37" s="8">
        <f>+'4.1. Samtryggingard.'!AG152</f>
        <v>0</v>
      </c>
      <c r="AC37" s="8">
        <f>+'4.1. Samtryggingard.'!AH152</f>
        <v>0</v>
      </c>
      <c r="AD37" s="8">
        <f>+'4.1. Samtryggingard.'!AI152+'4.1. Samtryggingard.'!AJ152</f>
        <v>0</v>
      </c>
      <c r="AE37" s="8">
        <f>+'4.1. Samtryggingard.'!AK152+'5.1. Séreignard.'!AM156</f>
        <v>0</v>
      </c>
      <c r="AF37" s="79">
        <f>+'4.1. Samtryggingard.'!AL152</f>
        <v>0</v>
      </c>
      <c r="AG37" s="79">
        <f>+'4.1. Samtryggingard.'!AM152</f>
        <v>0</v>
      </c>
      <c r="AH37" s="79">
        <f>+'4.1. Samtryggingard.'!AN152+'5.1. Séreignard.'!AN156</f>
        <v>0</v>
      </c>
      <c r="AI37" s="79">
        <f>+'4.1. Samtryggingard.'!AO152</f>
        <v>0</v>
      </c>
      <c r="AJ37" s="8">
        <f>+'4.1. Samtryggingard.'!AP152</f>
        <v>0</v>
      </c>
      <c r="AK37" s="8">
        <f>+'4.1. Samtryggingard.'!AQ152</f>
        <v>0</v>
      </c>
      <c r="AL37" s="8">
        <f>+'4.1. Samtryggingard.'!AR152</f>
        <v>0</v>
      </c>
      <c r="AM37" s="8">
        <f>+'4.1. Samtryggingard.'!AS152</f>
        <v>0</v>
      </c>
      <c r="AN37" s="8">
        <f>+'4.1. Samtryggingard.'!AT152</f>
        <v>0</v>
      </c>
      <c r="AO37" s="8">
        <f>+'4.1. Samtryggingard.'!AU152</f>
        <v>0</v>
      </c>
      <c r="AP37" s="8">
        <f>+'4.1. Samtryggingard.'!AV152</f>
        <v>0</v>
      </c>
      <c r="AQ37" s="8">
        <f>+'4.1. Samtryggingard.'!AW152</f>
        <v>0</v>
      </c>
      <c r="AR37" s="8">
        <f>+'4.1. Samtryggingard.'!AX152</f>
        <v>0</v>
      </c>
      <c r="AS37" s="8">
        <f>+'4.1. Samtryggingard.'!AY152</f>
        <v>0</v>
      </c>
      <c r="AT37" s="8">
        <f>+'4.1. Samtryggingard.'!AZ152</f>
        <v>0</v>
      </c>
      <c r="AU37" s="8">
        <f>+'4.1. Samtryggingard.'!BA152</f>
        <v>0</v>
      </c>
      <c r="AV37" s="8">
        <f>+'4.1. Samtryggingard.'!BB152</f>
        <v>0</v>
      </c>
      <c r="AW37" s="8">
        <f>+'4.1. Samtryggingard.'!BC152</f>
        <v>0</v>
      </c>
      <c r="AX37" s="8"/>
      <c r="AY37" s="7">
        <f t="shared" si="5"/>
        <v>32999.7</v>
      </c>
      <c r="AZ37" s="7"/>
      <c r="BA37" s="7"/>
      <c r="BB37" s="8"/>
    </row>
    <row r="38" spans="1:54" ht="12.75">
      <c r="A38" s="218" t="s">
        <v>345</v>
      </c>
      <c r="B38" s="7">
        <f>SUM(B31:B37)</f>
        <v>115441968.70000002</v>
      </c>
      <c r="C38" s="7">
        <f>SUM(C31:C37)</f>
        <v>40791232</v>
      </c>
      <c r="D38" s="7">
        <f>SUM(D31:D37)</f>
        <v>35074464.787</v>
      </c>
      <c r="E38" s="7">
        <f aca="true" t="shared" si="6" ref="E38:AW38">SUM(E31:E37)</f>
        <v>19683640</v>
      </c>
      <c r="F38" s="7">
        <f t="shared" si="6"/>
        <v>30315445</v>
      </c>
      <c r="G38" s="7">
        <f t="shared" si="6"/>
        <v>26584894.028</v>
      </c>
      <c r="H38" s="7">
        <f>SUM(H31:H37)</f>
        <v>20840032.9</v>
      </c>
      <c r="I38" s="7">
        <f t="shared" si="6"/>
        <v>4581571</v>
      </c>
      <c r="J38" s="7">
        <f t="shared" si="6"/>
        <v>14743524.680461</v>
      </c>
      <c r="K38" s="7">
        <f t="shared" si="6"/>
        <v>7475436</v>
      </c>
      <c r="L38" s="7">
        <f t="shared" si="6"/>
        <v>18081436</v>
      </c>
      <c r="M38" s="7">
        <f t="shared" si="6"/>
        <v>11204523</v>
      </c>
      <c r="N38" s="7">
        <f>SUM(N31:N37)</f>
        <v>4549641</v>
      </c>
      <c r="O38" s="7">
        <f t="shared" si="6"/>
        <v>7372644</v>
      </c>
      <c r="P38" s="7">
        <f t="shared" si="6"/>
        <v>8293426.364</v>
      </c>
      <c r="Q38" s="7">
        <f t="shared" si="6"/>
        <v>2992687.082</v>
      </c>
      <c r="R38" s="7">
        <f>SUM(R31:R37)</f>
        <v>10330520.8</v>
      </c>
      <c r="S38" s="7">
        <f t="shared" si="6"/>
        <v>14558881</v>
      </c>
      <c r="T38" s="7">
        <f t="shared" si="6"/>
        <v>6394402</v>
      </c>
      <c r="U38" s="7">
        <f t="shared" si="6"/>
        <v>6386208.141000001</v>
      </c>
      <c r="V38" s="7">
        <f>SUM(V31:V37)</f>
        <v>6016341.967</v>
      </c>
      <c r="W38" s="7">
        <f>SUM(W31:W37)</f>
        <v>4629639</v>
      </c>
      <c r="X38" s="7">
        <f t="shared" si="6"/>
        <v>4354513.659999999</v>
      </c>
      <c r="Y38" s="7">
        <f>SUM(Y31:Y37)</f>
        <v>6328495.309</v>
      </c>
      <c r="Z38" s="7">
        <f t="shared" si="6"/>
        <v>5260845</v>
      </c>
      <c r="AA38" s="7">
        <f t="shared" si="6"/>
        <v>1730079.451</v>
      </c>
      <c r="AB38" s="7">
        <f t="shared" si="6"/>
        <v>4284418</v>
      </c>
      <c r="AC38" s="7">
        <f t="shared" si="6"/>
        <v>899223</v>
      </c>
      <c r="AD38" s="7">
        <f t="shared" si="6"/>
        <v>2351172</v>
      </c>
      <c r="AE38" s="7">
        <f t="shared" si="6"/>
        <v>1260132</v>
      </c>
      <c r="AF38" s="7">
        <f t="shared" si="6"/>
        <v>1186630</v>
      </c>
      <c r="AG38" s="7">
        <f t="shared" si="6"/>
        <v>2026483</v>
      </c>
      <c r="AH38" s="7">
        <f>SUM(AH31:AH37)</f>
        <v>1569093</v>
      </c>
      <c r="AI38" s="7">
        <f t="shared" si="6"/>
        <v>602626</v>
      </c>
      <c r="AJ38" s="7">
        <f t="shared" si="6"/>
        <v>309455.918</v>
      </c>
      <c r="AK38" s="7">
        <f t="shared" si="6"/>
        <v>914216</v>
      </c>
      <c r="AL38" s="7">
        <f t="shared" si="6"/>
        <v>376498</v>
      </c>
      <c r="AM38" s="7">
        <f t="shared" si="6"/>
        <v>623966</v>
      </c>
      <c r="AN38" s="7">
        <f t="shared" si="6"/>
        <v>501767</v>
      </c>
      <c r="AO38" s="7">
        <f t="shared" si="6"/>
        <v>85822.28</v>
      </c>
      <c r="AP38" s="7">
        <f t="shared" si="6"/>
        <v>161036</v>
      </c>
      <c r="AQ38" s="7">
        <f t="shared" si="6"/>
        <v>307155</v>
      </c>
      <c r="AR38" s="7">
        <f t="shared" si="6"/>
        <v>32574</v>
      </c>
      <c r="AS38" s="7">
        <f t="shared" si="6"/>
        <v>18265.83</v>
      </c>
      <c r="AT38" s="7">
        <f t="shared" si="6"/>
        <v>39698</v>
      </c>
      <c r="AU38" s="7">
        <f t="shared" si="6"/>
        <v>0</v>
      </c>
      <c r="AV38" s="7">
        <f>SUM(AV31:AV37)</f>
        <v>0</v>
      </c>
      <c r="AW38" s="7">
        <f t="shared" si="6"/>
        <v>0</v>
      </c>
      <c r="AX38" s="7"/>
      <c r="AY38" s="7">
        <f t="shared" si="5"/>
        <v>451566723.897461</v>
      </c>
      <c r="AZ38" s="7"/>
      <c r="BA38" s="7"/>
      <c r="BB38" s="8"/>
    </row>
    <row r="39" spans="1:54" ht="8.25" customHeight="1">
      <c r="A39" s="10"/>
      <c r="C39" s="126"/>
      <c r="D39" s="79"/>
      <c r="E39" s="11"/>
      <c r="F39" s="11"/>
      <c r="N39" s="19"/>
      <c r="Q39" s="11"/>
      <c r="R39" s="137"/>
      <c r="S39" s="11"/>
      <c r="T39" s="11"/>
      <c r="U39" s="11"/>
      <c r="X39" s="11"/>
      <c r="Z39" s="11"/>
      <c r="AB39" s="11"/>
      <c r="AC39" s="19"/>
      <c r="AF39" s="11"/>
      <c r="AG39" s="11"/>
      <c r="AH39" s="7"/>
      <c r="AI39" s="11"/>
      <c r="AL39" s="11"/>
      <c r="AN39" s="11"/>
      <c r="AO39" s="11"/>
      <c r="AP39" s="11"/>
      <c r="AQ39" s="11"/>
      <c r="AR39" s="11"/>
      <c r="AS39" s="11"/>
      <c r="AT39" s="11"/>
      <c r="AU39" s="11"/>
      <c r="AW39" s="11"/>
      <c r="AY39" s="7"/>
      <c r="AZ39" s="7"/>
      <c r="BA39" s="7"/>
      <c r="BB39" s="8"/>
    </row>
    <row r="40" spans="1:54" ht="12.75">
      <c r="A40" s="9" t="s">
        <v>346</v>
      </c>
      <c r="B40" s="7">
        <f>+B28-B38</f>
        <v>1171054.2999999821</v>
      </c>
      <c r="C40" s="7">
        <f>+C28-C38</f>
        <v>1470520</v>
      </c>
      <c r="D40" s="7">
        <f>+D28-D38</f>
        <v>283021.5280000046</v>
      </c>
      <c r="E40" s="7">
        <f aca="true" t="shared" si="7" ref="E40:AW40">+E28-E38</f>
        <v>173433</v>
      </c>
      <c r="F40" s="7">
        <f t="shared" si="7"/>
        <v>-132691</v>
      </c>
      <c r="G40" s="7">
        <f t="shared" si="7"/>
        <v>221803.97199999914</v>
      </c>
      <c r="H40" s="7">
        <f>+H28-H38</f>
        <v>-554095.799999997</v>
      </c>
      <c r="I40" s="7">
        <f t="shared" si="7"/>
        <v>110255</v>
      </c>
      <c r="J40" s="7">
        <f t="shared" si="7"/>
        <v>1448.3994391597807</v>
      </c>
      <c r="K40" s="7">
        <f t="shared" si="7"/>
        <v>192362</v>
      </c>
      <c r="L40" s="7">
        <f t="shared" si="7"/>
        <v>222627</v>
      </c>
      <c r="M40" s="7">
        <f t="shared" si="7"/>
        <v>306932</v>
      </c>
      <c r="N40" s="7">
        <f>+N28-N38</f>
        <v>12487</v>
      </c>
      <c r="O40" s="7">
        <f t="shared" si="7"/>
        <v>91384</v>
      </c>
      <c r="P40" s="7">
        <f t="shared" si="7"/>
        <v>83509.32400000002</v>
      </c>
      <c r="Q40" s="7">
        <f t="shared" si="7"/>
        <v>6842.160999999847</v>
      </c>
      <c r="R40" s="7">
        <f>+R28-R38</f>
        <v>218842.19999999925</v>
      </c>
      <c r="S40" s="7">
        <f t="shared" si="7"/>
        <v>59710</v>
      </c>
      <c r="T40" s="7">
        <f t="shared" si="7"/>
        <v>17885</v>
      </c>
      <c r="U40" s="7">
        <f t="shared" si="7"/>
        <v>103478.9009999996</v>
      </c>
      <c r="V40" s="7">
        <f>+V28-V38</f>
        <v>-12532.69599999953</v>
      </c>
      <c r="W40" s="7">
        <f>+W28-W38</f>
        <v>-9830</v>
      </c>
      <c r="X40" s="7">
        <f t="shared" si="7"/>
        <v>14914.263000000268</v>
      </c>
      <c r="Y40" s="7">
        <f>+Y28-Y38</f>
        <v>264.0699999993667</v>
      </c>
      <c r="Z40" s="7">
        <f t="shared" si="7"/>
        <v>27835</v>
      </c>
      <c r="AA40" s="7">
        <f t="shared" si="7"/>
        <v>213398.68000000017</v>
      </c>
      <c r="AB40" s="7">
        <f t="shared" si="7"/>
        <v>-35750</v>
      </c>
      <c r="AC40" s="7">
        <f t="shared" si="7"/>
        <v>-4116.900000000023</v>
      </c>
      <c r="AD40" s="7">
        <f t="shared" si="7"/>
        <v>19879</v>
      </c>
      <c r="AE40" s="7">
        <f t="shared" si="7"/>
        <v>-712964</v>
      </c>
      <c r="AF40" s="7">
        <f t="shared" si="7"/>
        <v>65099</v>
      </c>
      <c r="AG40" s="7">
        <f t="shared" si="7"/>
        <v>-525</v>
      </c>
      <c r="AH40" s="7">
        <f>+AH28-AH38</f>
        <v>-1109</v>
      </c>
      <c r="AI40" s="7">
        <f t="shared" si="7"/>
        <v>-8397</v>
      </c>
      <c r="AJ40" s="7">
        <f t="shared" si="7"/>
        <v>-48650.66600000003</v>
      </c>
      <c r="AK40" s="7">
        <f t="shared" si="7"/>
        <v>-1312</v>
      </c>
      <c r="AL40" s="7">
        <f t="shared" si="7"/>
        <v>-16565</v>
      </c>
      <c r="AM40" s="7">
        <f t="shared" si="7"/>
        <v>-414</v>
      </c>
      <c r="AN40" s="7">
        <f t="shared" si="7"/>
        <v>-1600</v>
      </c>
      <c r="AO40" s="7">
        <f t="shared" si="7"/>
        <v>1350.205999999991</v>
      </c>
      <c r="AP40" s="7">
        <f t="shared" si="7"/>
        <v>-5280</v>
      </c>
      <c r="AQ40" s="7">
        <f t="shared" si="7"/>
        <v>-2094</v>
      </c>
      <c r="AR40" s="7">
        <f t="shared" si="7"/>
        <v>5967.900999999998</v>
      </c>
      <c r="AS40" s="7">
        <f t="shared" si="7"/>
        <v>-3200.107000000011</v>
      </c>
      <c r="AT40" s="7">
        <f t="shared" si="7"/>
        <v>20547</v>
      </c>
      <c r="AU40" s="7">
        <f t="shared" si="7"/>
        <v>3850</v>
      </c>
      <c r="AV40" s="7">
        <f>+AV28-AV38</f>
        <v>-323</v>
      </c>
      <c r="AW40" s="7">
        <f t="shared" si="7"/>
        <v>888</v>
      </c>
      <c r="AX40" s="7"/>
      <c r="AY40" s="7">
        <f>SUM(B40:AW40)</f>
        <v>3570138.736439147</v>
      </c>
      <c r="AZ40" s="7"/>
      <c r="BA40" s="7"/>
      <c r="BB40" s="8"/>
    </row>
    <row r="41" spans="1:54" ht="8.25" customHeight="1">
      <c r="A41" s="9"/>
      <c r="C41" s="127"/>
      <c r="D41" s="79"/>
      <c r="E41" s="11"/>
      <c r="F41" s="11"/>
      <c r="N41" s="19"/>
      <c r="Q41" s="11"/>
      <c r="R41" s="136"/>
      <c r="S41" s="11"/>
      <c r="T41" s="11"/>
      <c r="U41" s="11"/>
      <c r="X41" s="11"/>
      <c r="Z41" s="11"/>
      <c r="AB41" s="11"/>
      <c r="AC41" s="19"/>
      <c r="AF41" s="11"/>
      <c r="AG41" s="11"/>
      <c r="AH41" s="7"/>
      <c r="AI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W41" s="11"/>
      <c r="AY41" s="7"/>
      <c r="AZ41" s="7"/>
      <c r="BA41" s="7"/>
      <c r="BB41" s="8"/>
    </row>
    <row r="42" spans="1:54" ht="12.75">
      <c r="A42" s="9" t="s">
        <v>347</v>
      </c>
      <c r="B42" s="7">
        <f>+'4.1. Samtryggingard.'!B157+'4.1. Samtryggingard.'!C157+'5.1. Séreignard.'!B161+'5.1. Séreignard.'!C161+'5.1. Séreignard.'!D161</f>
        <v>400122.4</v>
      </c>
      <c r="C42" s="126">
        <f>+'4.1. Samtryggingard.'!D157+'5.1. Séreignard.'!E161</f>
        <v>2913756</v>
      </c>
      <c r="D42" s="79">
        <f>+'4.1. Samtryggingard.'!E157+'5.1. Séreignard.'!F161+'5.1. Séreignard.'!G161</f>
        <v>725474.694</v>
      </c>
      <c r="E42" s="7">
        <f>+'4.1. Samtryggingard.'!F157+'5.1. Séreignard.'!H161+'5.1. Séreignard.'!I161+'5.1. Séreignard.'!J161</f>
        <v>382736</v>
      </c>
      <c r="F42" s="7">
        <f>+'4.1. Samtryggingard.'!G157+'4.1. Samtryggingard.'!H157+'5.1. Séreignard.'!K161+'5.1. Séreignard.'!L161</f>
        <v>481810</v>
      </c>
      <c r="G42" s="7">
        <f>+'4.1. Samtryggingard.'!I157+'5.1. Séreignard.'!M161+'5.1. Séreignard.'!N161</f>
        <v>642530</v>
      </c>
      <c r="H42" s="7">
        <f>+'4.1. Samtryggingard.'!J157+'5.1. Séreignard.'!O161+'5.1. Séreignard.'!P161+'5.1. Séreignard.'!Q161</f>
        <v>795652.9</v>
      </c>
      <c r="I42" s="7">
        <f>+'4.1. Samtryggingard.'!K157+'5.1. Séreignard.'!R161</f>
        <v>375518</v>
      </c>
      <c r="J42" s="7">
        <f>+'4.1. Samtryggingard.'!L157+'5.1. Séreignard.'!S161+'5.1. Séreignard.'!T161+'5.1. Séreignard.'!U161+'5.1. Séreignard.'!V161</f>
        <v>128442.4</v>
      </c>
      <c r="K42" s="7">
        <f>+'4.1. Samtryggingard.'!M157+'5.1. Séreignard.'!W161+'5.1. Séreignard.'!X161</f>
        <v>186171</v>
      </c>
      <c r="L42" s="7">
        <f>+'4.1. Samtryggingard.'!N157+'4.1. Samtryggingard.'!O157</f>
        <v>302638</v>
      </c>
      <c r="M42" s="7">
        <f>+'4.1. Samtryggingard.'!P157+'4.1. Samtryggingard.'!Q157+'5.1. Séreignard.'!Y161</f>
        <v>184967</v>
      </c>
      <c r="N42" s="7">
        <f>+'4.1. Samtryggingard.'!R157</f>
        <v>4412</v>
      </c>
      <c r="O42" s="7">
        <f>+'4.1. Samtryggingard.'!S157+'5.1. Séreignard.'!Z161</f>
        <v>376070.5</v>
      </c>
      <c r="P42" s="7">
        <f>+'4.1. Samtryggingard.'!T157+'5.1. Séreignard.'!AA161</f>
        <v>121098.634</v>
      </c>
      <c r="Q42" s="7">
        <f>+'4.1. Samtryggingard.'!U157+'5.1. Séreignard.'!AB161</f>
        <v>2691</v>
      </c>
      <c r="R42" s="7">
        <f>+'4.1. Samtryggingard.'!V157</f>
        <v>0</v>
      </c>
      <c r="S42" s="7">
        <f>+'4.1. Samtryggingard.'!W157</f>
        <v>53656</v>
      </c>
      <c r="T42" s="7">
        <f>+'4.1. Samtryggingard.'!X157+'5.1. Séreignard.'!AC161+'5.1. Séreignard.'!AD161</f>
        <v>86769</v>
      </c>
      <c r="U42" s="7">
        <f>+'4.1. Samtryggingard.'!Y157</f>
        <v>38889</v>
      </c>
      <c r="V42" s="7">
        <f>+'4.1. Samtryggingard.'!Z157+'4.1. Samtryggingard.'!AA157+'5.1. Séreignard.'!AE161+'5.1. Séreignard.'!AF161+'5.1. Séreignard.'!AG161</f>
        <v>168834.93</v>
      </c>
      <c r="W42" s="7">
        <f>+'4.1. Samtryggingard.'!AB157+'5.1. Séreignard.'!AH161</f>
        <v>36732</v>
      </c>
      <c r="X42" s="7">
        <f>+'4.1. Samtryggingard.'!AC157</f>
        <v>141630</v>
      </c>
      <c r="Y42" s="7">
        <f>+'4.1. Samtryggingard.'!AD157+'5.1. Séreignard.'!AI161+'5.1. Séreignard.'!AJ161+'5.1. Séreignard.'!AK161+'5.1. Séreignard.'!AL161</f>
        <v>42064.741</v>
      </c>
      <c r="Z42" s="7">
        <f>+'4.1. Samtryggingard.'!AE157</f>
        <v>11405</v>
      </c>
      <c r="AA42" s="7">
        <f>+'4.1. Samtryggingard.'!AF157</f>
        <v>187510.879</v>
      </c>
      <c r="AB42" s="7">
        <f>+'4.1. Samtryggingard.'!AG157</f>
        <v>104616</v>
      </c>
      <c r="AC42" s="7">
        <f>+'4.1. Samtryggingard.'!AH157</f>
        <v>5267</v>
      </c>
      <c r="AD42" s="7">
        <f>+'4.1. Samtryggingard.'!AI157+'4.1. Samtryggingard.'!AJ157</f>
        <v>1608</v>
      </c>
      <c r="AE42" s="7">
        <f>+'4.1. Samtryggingard.'!AK157+'5.1. Séreignard.'!AM161</f>
        <v>1197255</v>
      </c>
      <c r="AF42" s="7">
        <f>+'4.1. Samtryggingard.'!AL157</f>
        <v>17636</v>
      </c>
      <c r="AG42" s="7">
        <f>+'4.1. Samtryggingard.'!AM157</f>
        <v>2098</v>
      </c>
      <c r="AH42" s="7">
        <f>+'4.1. Samtryggingard.'!AN157+'5.1. Séreignard.'!AN161</f>
        <v>7073</v>
      </c>
      <c r="AI42" s="7">
        <f>+'4.1. Samtryggingard.'!AO157</f>
        <v>29809.587</v>
      </c>
      <c r="AJ42" s="7">
        <f>+'4.1. Samtryggingard.'!AP157</f>
        <v>56782</v>
      </c>
      <c r="AK42" s="7">
        <f>+'4.1. Samtryggingard.'!AQ157</f>
        <v>2943</v>
      </c>
      <c r="AL42" s="7">
        <f>+'4.1. Samtryggingard.'!AR157</f>
        <v>16575</v>
      </c>
      <c r="AM42" s="7">
        <f>+'4.1. Samtryggingard.'!AS157</f>
        <v>2069</v>
      </c>
      <c r="AN42" s="7">
        <f>+'4.1. Samtryggingard.'!AT157</f>
        <v>1948</v>
      </c>
      <c r="AO42" s="7">
        <f>+'4.1. Samtryggingard.'!AU157</f>
        <v>365.962</v>
      </c>
      <c r="AP42" s="7">
        <f>+'4.1. Samtryggingard.'!AV157</f>
        <v>71295</v>
      </c>
      <c r="AQ42" s="7">
        <f>+'4.1. Samtryggingard.'!AW157</f>
        <v>3765</v>
      </c>
      <c r="AR42" s="7">
        <f>+'4.1. Samtryggingard.'!AX157</f>
        <v>41731</v>
      </c>
      <c r="AS42" s="7">
        <f>+'4.1. Samtryggingard.'!AY157</f>
        <v>8413.698</v>
      </c>
      <c r="AT42" s="7">
        <f>+'4.1. Samtryggingard.'!AZ157</f>
        <v>6571</v>
      </c>
      <c r="AU42" s="7">
        <f>+'4.1. Samtryggingard.'!BA157</f>
        <v>42942</v>
      </c>
      <c r="AV42" s="7">
        <f>+'4.1. Samtryggingard.'!BB157</f>
        <v>373</v>
      </c>
      <c r="AW42" s="7">
        <f>+'4.1. Samtryggingard.'!BC157</f>
        <v>42644</v>
      </c>
      <c r="AX42" s="7"/>
      <c r="AY42" s="7">
        <f>SUM(B42:AW42)</f>
        <v>10455362.325000001</v>
      </c>
      <c r="AZ42" s="7"/>
      <c r="BA42" s="7"/>
      <c r="BB42" s="8"/>
    </row>
    <row r="43" spans="1:54" ht="12.75" customHeight="1">
      <c r="A43" s="10"/>
      <c r="C43" s="128"/>
      <c r="D43" s="11"/>
      <c r="E43" s="11"/>
      <c r="F43" s="11"/>
      <c r="N43" s="19"/>
      <c r="Q43" s="11"/>
      <c r="R43" s="65"/>
      <c r="S43" s="11"/>
      <c r="T43" s="11"/>
      <c r="U43" s="11"/>
      <c r="W43" s="18">
        <v>0</v>
      </c>
      <c r="X43" s="11"/>
      <c r="Z43" s="11"/>
      <c r="AB43" s="11"/>
      <c r="AC43" s="19"/>
      <c r="AF43" s="11"/>
      <c r="AG43" s="11"/>
      <c r="AH43" s="7"/>
      <c r="AI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W43" s="11"/>
      <c r="AY43" s="7"/>
      <c r="AZ43" s="7"/>
      <c r="BA43" s="7"/>
      <c r="BB43" s="8"/>
    </row>
    <row r="44" spans="1:54" ht="12.75">
      <c r="A44" s="9" t="s">
        <v>348</v>
      </c>
      <c r="B44" s="7">
        <f>+B40+B42</f>
        <v>1571176.699999982</v>
      </c>
      <c r="C44" s="7">
        <f>+C40+C42</f>
        <v>4384276</v>
      </c>
      <c r="D44" s="7">
        <f aca="true" t="shared" si="8" ref="D44:AW44">+D40+D42</f>
        <v>1008496.2220000046</v>
      </c>
      <c r="E44" s="7">
        <f t="shared" si="8"/>
        <v>556169</v>
      </c>
      <c r="F44" s="7">
        <f t="shared" si="8"/>
        <v>349119</v>
      </c>
      <c r="G44" s="7">
        <f t="shared" si="8"/>
        <v>864333.9719999991</v>
      </c>
      <c r="H44" s="7">
        <f>+H40+H42</f>
        <v>241557.100000003</v>
      </c>
      <c r="I44" s="7">
        <f t="shared" si="8"/>
        <v>485773</v>
      </c>
      <c r="J44" s="7">
        <f t="shared" si="8"/>
        <v>129890.79943915977</v>
      </c>
      <c r="K44" s="7">
        <f t="shared" si="8"/>
        <v>378533</v>
      </c>
      <c r="L44" s="7">
        <f t="shared" si="8"/>
        <v>525265</v>
      </c>
      <c r="M44" s="7">
        <f t="shared" si="8"/>
        <v>491899</v>
      </c>
      <c r="N44" s="7">
        <f>+N40+N42</f>
        <v>16899</v>
      </c>
      <c r="O44" s="7">
        <f t="shared" si="8"/>
        <v>467454.5</v>
      </c>
      <c r="P44" s="7">
        <f t="shared" si="8"/>
        <v>204607.95800000004</v>
      </c>
      <c r="Q44" s="7">
        <f t="shared" si="8"/>
        <v>9533.160999999847</v>
      </c>
      <c r="R44" s="7">
        <f>+R40+R42</f>
        <v>218842.19999999925</v>
      </c>
      <c r="S44" s="7">
        <f t="shared" si="8"/>
        <v>113366</v>
      </c>
      <c r="T44" s="7">
        <f t="shared" si="8"/>
        <v>104654</v>
      </c>
      <c r="U44" s="7">
        <f t="shared" si="8"/>
        <v>142367.9009999996</v>
      </c>
      <c r="V44" s="7">
        <f>+V40+V42</f>
        <v>156302.23400000046</v>
      </c>
      <c r="W44" s="7">
        <f>+W40+W42</f>
        <v>26902</v>
      </c>
      <c r="X44" s="7">
        <f t="shared" si="8"/>
        <v>156544.26300000027</v>
      </c>
      <c r="Y44" s="7">
        <f>+Y40+Y42</f>
        <v>42328.81099999937</v>
      </c>
      <c r="Z44" s="7">
        <f t="shared" si="8"/>
        <v>39240</v>
      </c>
      <c r="AA44" s="7">
        <f t="shared" si="8"/>
        <v>400909.5590000001</v>
      </c>
      <c r="AB44" s="7">
        <f t="shared" si="8"/>
        <v>68866</v>
      </c>
      <c r="AC44" s="7">
        <f t="shared" si="8"/>
        <v>1150.0999999999767</v>
      </c>
      <c r="AD44" s="7">
        <f t="shared" si="8"/>
        <v>21487</v>
      </c>
      <c r="AE44" s="7">
        <f t="shared" si="8"/>
        <v>484291</v>
      </c>
      <c r="AF44" s="7">
        <f t="shared" si="8"/>
        <v>82735</v>
      </c>
      <c r="AG44" s="7">
        <f t="shared" si="8"/>
        <v>1573</v>
      </c>
      <c r="AH44" s="7">
        <f>+AH40+AH42</f>
        <v>5964</v>
      </c>
      <c r="AI44" s="7">
        <f t="shared" si="8"/>
        <v>21412.587</v>
      </c>
      <c r="AJ44" s="7">
        <f t="shared" si="8"/>
        <v>8131.3339999999735</v>
      </c>
      <c r="AK44" s="7">
        <f t="shared" si="8"/>
        <v>1631</v>
      </c>
      <c r="AL44" s="7">
        <f t="shared" si="8"/>
        <v>10</v>
      </c>
      <c r="AM44" s="7">
        <f t="shared" si="8"/>
        <v>1655</v>
      </c>
      <c r="AN44" s="7">
        <f t="shared" si="8"/>
        <v>348</v>
      </c>
      <c r="AO44" s="7">
        <f t="shared" si="8"/>
        <v>1716.167999999991</v>
      </c>
      <c r="AP44" s="7">
        <f t="shared" si="8"/>
        <v>66015</v>
      </c>
      <c r="AQ44" s="7">
        <f t="shared" si="8"/>
        <v>1671</v>
      </c>
      <c r="AR44" s="7">
        <f t="shared" si="8"/>
        <v>47698.901</v>
      </c>
      <c r="AS44" s="7">
        <f t="shared" si="8"/>
        <v>5213.590999999989</v>
      </c>
      <c r="AT44" s="7">
        <f t="shared" si="8"/>
        <v>27118</v>
      </c>
      <c r="AU44" s="7">
        <f t="shared" si="8"/>
        <v>46792</v>
      </c>
      <c r="AV44" s="7">
        <f>+AV40+AV42</f>
        <v>50</v>
      </c>
      <c r="AW44" s="7">
        <f t="shared" si="8"/>
        <v>43532</v>
      </c>
      <c r="AX44" s="7"/>
      <c r="AY44" s="7">
        <f>SUM(B44:AW44)</f>
        <v>14025501.06143915</v>
      </c>
      <c r="AZ44" s="7"/>
      <c r="BA44" s="7"/>
      <c r="BB44" s="8"/>
    </row>
    <row r="45" spans="19:53" ht="14.25" customHeight="1">
      <c r="S45" s="11"/>
      <c r="AH45" s="7"/>
      <c r="AY45" s="7"/>
      <c r="AZ45" s="7"/>
      <c r="BA45" s="7"/>
    </row>
    <row r="46" spans="1:54" s="275" customFormat="1" ht="12.75" hidden="1">
      <c r="A46" s="275" t="s">
        <v>464</v>
      </c>
      <c r="B46" s="277">
        <f>+B44-'4.1. Samtryggingard.'!B159-'4.1. Samtryggingard.'!C159-'5.1. Séreignard.'!B163-'5.1. Séreignard.'!C163-'5.1. Séreignard.'!D163</f>
        <v>-1.9586877897381783E-08</v>
      </c>
      <c r="C46" s="277">
        <f>+C44-'4.1. Samtryggingard.'!D159-'5.1. Séreignard.'!E163</f>
        <v>0</v>
      </c>
      <c r="D46" s="277">
        <f>+D44-'4.1. Samtryggingard.'!E159-'5.1. Séreignard.'!F163-'5.1. Séreignard.'!G163</f>
        <v>1.0521034710109234E-08</v>
      </c>
      <c r="E46" s="277">
        <f>+E44-'4.1. Samtryggingard.'!F159-'5.1. Séreignard.'!H163-'5.1. Séreignard.'!I163-'5.1. Séreignard.'!J163</f>
        <v>0</v>
      </c>
      <c r="F46" s="277">
        <f>+F44-'4.1. Samtryggingard.'!G159-'4.1. Samtryggingard.'!H159-'5.1. Séreignard.'!K163-'5.1. Séreignard.'!L163</f>
        <v>0</v>
      </c>
      <c r="G46" s="277">
        <f>+G44-'4.1. Samtryggingard.'!I159-'5.1. Séreignard.'!M163-'5.1. Séreignard.'!N163</f>
        <v>-2.3283064365386963E-09</v>
      </c>
      <c r="H46" s="277">
        <f>+H44-'4.1. Samtryggingard.'!J159-'5.1. Séreignard.'!O163-'5.1. Séreignard.'!P163-'5.1. Séreignard.'!Q163</f>
        <v>3.026798367500305E-09</v>
      </c>
      <c r="I46" s="277">
        <f>+I44-'4.1. Samtryggingard.'!K159-'5.1. Séreignard.'!R163</f>
        <v>0</v>
      </c>
      <c r="J46" s="277">
        <f>+J44-'4.1. Samtryggingard.'!L159-'5.1. Séreignard.'!S163-'5.1. Séreignard.'!T163-'5.1. Séreignard.'!U163-'5.1. Séreignard.'!V163</f>
        <v>-4.147295840084553E-10</v>
      </c>
      <c r="K46" s="277">
        <f>+K44-'4.1. Samtryggingard.'!M159-'5.1. Séreignard.'!W163-'5.1. Séreignard.'!X163</f>
        <v>0</v>
      </c>
      <c r="L46" s="277">
        <f>+L44-'4.1. Samtryggingard.'!N159-'4.1. Samtryggingard.'!O159</f>
        <v>0</v>
      </c>
      <c r="M46" s="277">
        <f>+M44-'4.1. Samtryggingard.'!P159-'4.1. Samtryggingard.'!Q159-'5.1. Séreignard.'!Y163</f>
        <v>0</v>
      </c>
      <c r="N46" s="277">
        <f>+N44-'4.1. Samtryggingard.'!R159</f>
        <v>0</v>
      </c>
      <c r="O46" s="277">
        <f>+O44-'4.1. Samtryggingard.'!S159-'5.1. Séreignard.'!Z163</f>
        <v>0</v>
      </c>
      <c r="P46" s="277">
        <f>+P44-'4.1. Samtryggingard.'!T159-'5.1. Séreignard.'!AA163</f>
        <v>1.0040821507573128E-09</v>
      </c>
      <c r="Q46" s="277">
        <f>+Q44-'4.1. Samtryggingard.'!U159-'5.1. Séreignard.'!AB163</f>
        <v>-1.7462298274040222E-10</v>
      </c>
      <c r="R46" s="277">
        <f>+R44-'4.1. Samtryggingard.'!V159</f>
        <v>0</v>
      </c>
      <c r="S46" s="277">
        <f>+S44-'4.1. Samtryggingard.'!W159</f>
        <v>0</v>
      </c>
      <c r="T46" s="277">
        <f>+T44-'4.1. Samtryggingard.'!X159-'5.1. Séreignard.'!AC163-'5.1. Séreignard.'!AD163</f>
        <v>0</v>
      </c>
      <c r="U46" s="277">
        <f>+U44-'4.1. Samtryggingard.'!Y159</f>
        <v>0</v>
      </c>
      <c r="V46" s="277">
        <f>+V44-'4.1. Samtryggingard.'!Z159-'4.1. Samtryggingard.'!AA159-'5.1. Séreignard.'!AE163-'5.1. Séreignard.'!AF163-'5.1. Séreignard.'!AG163</f>
        <v>-6.411937647499144E-11</v>
      </c>
      <c r="W46" s="277">
        <f>+W44-'4.1. Samtryggingard.'!AB159-'5.1. Séreignard.'!AH163</f>
        <v>0</v>
      </c>
      <c r="X46" s="277">
        <f>+X44-'4.1. Samtryggingard.'!AC159</f>
        <v>0</v>
      </c>
      <c r="Y46" s="277">
        <f>+Y44-'4.1. Samtryggingard.'!AD159-'5.1. Séreignard.'!AI163-'5.1. Séreignard.'!AJ163-'5.1. Séreignard.'!AK163-'5.1. Séreignard.'!AL163</f>
        <v>-7.012204150669277E-10</v>
      </c>
      <c r="Z46" s="277">
        <f>+Z44-'4.1. Samtryggingard.'!AE159</f>
        <v>0</v>
      </c>
      <c r="AA46" s="277">
        <f>+AA44-'4.1. Samtryggingard.'!AF159</f>
        <v>0</v>
      </c>
      <c r="AB46" s="277">
        <f>+AB44-'4.1. Samtryggingard.'!AG159</f>
        <v>0</v>
      </c>
      <c r="AC46" s="277">
        <f>+AC44-'4.1. Samtryggingard.'!AH159</f>
        <v>0</v>
      </c>
      <c r="AD46" s="277">
        <f>+AD44-'4.1. Samtryggingard.'!AI159-'4.1. Samtryggingard.'!AJ159</f>
        <v>0</v>
      </c>
      <c r="AE46" s="277">
        <f>+AE44-'4.1. Samtryggingard.'!AK159-'5.1. Séreignard.'!AM163</f>
        <v>0</v>
      </c>
      <c r="AF46" s="277">
        <f>+AF44-'4.1. Samtryggingard.'!AL159</f>
        <v>0</v>
      </c>
      <c r="AG46" s="277">
        <f>+AG44-'4.1. Samtryggingard.'!AM159</f>
        <v>0</v>
      </c>
      <c r="AH46" s="277">
        <f>+AH44-'4.1. Samtryggingard.'!AN159-'5.1. Séreignard.'!AN163</f>
        <v>0</v>
      </c>
      <c r="AI46" s="277">
        <f>+AI44-'4.1. Samtryggingard.'!AO159</f>
        <v>0</v>
      </c>
      <c r="AJ46" s="277">
        <f>+AJ44-'4.1. Samtryggingard.'!AP159</f>
        <v>0</v>
      </c>
      <c r="AK46" s="277">
        <f>+AK44-'4.1. Samtryggingard.'!AQ159</f>
        <v>0</v>
      </c>
      <c r="AL46" s="277">
        <f>+AL44-'4.1. Samtryggingard.'!AR159</f>
        <v>0</v>
      </c>
      <c r="AM46" s="277">
        <f>+AM44-'4.1. Samtryggingard.'!AS159</f>
        <v>0</v>
      </c>
      <c r="AN46" s="277">
        <f>+AN44-'4.1. Samtryggingard.'!AT159</f>
        <v>0</v>
      </c>
      <c r="AO46" s="277">
        <f>+AO44-'4.1. Samtryggingard.'!AU159</f>
        <v>0</v>
      </c>
      <c r="AP46" s="277">
        <f>+AP44-'4.1. Samtryggingard.'!AV159</f>
        <v>0</v>
      </c>
      <c r="AQ46" s="277">
        <f>+AQ44-'4.1. Samtryggingard.'!AW159</f>
        <v>0</v>
      </c>
      <c r="AR46" s="277">
        <f>+AR44-'4.1. Samtryggingard.'!AX159</f>
        <v>0</v>
      </c>
      <c r="AS46" s="277">
        <f>+AS44-'4.1. Samtryggingard.'!AY159</f>
        <v>0</v>
      </c>
      <c r="AT46" s="277">
        <f>+AT44-'4.1. Samtryggingard.'!AZ159</f>
        <v>0</v>
      </c>
      <c r="AU46" s="277">
        <f>+AU44-'4.1. Samtryggingard.'!BA159</f>
        <v>0</v>
      </c>
      <c r="AV46" s="277">
        <f>+AV44-'4.1. Samtryggingard.'!BB159</f>
        <v>0</v>
      </c>
      <c r="AW46" s="277">
        <f>+AW44-'4.1. Samtryggingard.'!BC159</f>
        <v>0</v>
      </c>
      <c r="AX46" s="277"/>
      <c r="AY46" s="277"/>
      <c r="AZ46" s="277"/>
      <c r="BA46" s="277"/>
      <c r="BB46" s="277"/>
    </row>
    <row r="48" ht="12.75">
      <c r="D48" s="18"/>
    </row>
    <row r="49" ht="12.75">
      <c r="D49" s="18"/>
    </row>
    <row r="50" spans="51:53" ht="12.75">
      <c r="AY50" s="7"/>
      <c r="AZ50" s="7"/>
      <c r="BA50" s="7"/>
    </row>
    <row r="51" spans="51:53" ht="12.75">
      <c r="AY51" s="7"/>
      <c r="AZ51" s="7"/>
      <c r="BA51" s="7"/>
    </row>
    <row r="52" spans="51:53" ht="12.75">
      <c r="AY52" s="7"/>
      <c r="AZ52" s="7"/>
      <c r="BA52" s="7"/>
    </row>
    <row r="53" spans="51:53" ht="12.75">
      <c r="AY53" s="7"/>
      <c r="AZ53" s="7"/>
      <c r="BA53" s="7"/>
    </row>
    <row r="54" spans="51:53" ht="12.75">
      <c r="AY54" s="7"/>
      <c r="AZ54" s="7"/>
      <c r="BA54" s="7"/>
    </row>
    <row r="55" spans="51:53" ht="12.75">
      <c r="AY55" s="7"/>
      <c r="AZ55" s="7"/>
      <c r="BA55" s="7"/>
    </row>
    <row r="56" spans="51:53" ht="12.75">
      <c r="AY56" s="7"/>
      <c r="AZ56" s="7"/>
      <c r="BA56" s="7"/>
    </row>
    <row r="57" spans="51:53" ht="12.75">
      <c r="AY57" s="7"/>
      <c r="AZ57" s="7"/>
      <c r="BA57" s="7"/>
    </row>
    <row r="58" spans="51:53" ht="12.75">
      <c r="AY58" s="7"/>
      <c r="AZ58" s="7"/>
      <c r="BA58" s="7"/>
    </row>
    <row r="59" spans="51:53" ht="12.75">
      <c r="AY59" s="7"/>
      <c r="AZ59" s="7"/>
      <c r="BA59" s="7"/>
    </row>
    <row r="60" spans="51:53" ht="12.75">
      <c r="AY60" s="7"/>
      <c r="AZ60" s="7"/>
      <c r="BA60" s="7"/>
    </row>
    <row r="61" spans="52:53" ht="12.75">
      <c r="AZ61" s="7"/>
      <c r="BA61" s="7"/>
    </row>
    <row r="62" spans="51:53" ht="12.75">
      <c r="AY62" s="7"/>
      <c r="AZ62" s="7"/>
      <c r="BA62" s="7"/>
    </row>
    <row r="63" spans="51:53" ht="12.75">
      <c r="AY63" s="7"/>
      <c r="AZ63" s="7"/>
      <c r="BA63" s="7"/>
    </row>
    <row r="64" spans="51:53" ht="12.75">
      <c r="AY64" s="57"/>
      <c r="AZ64" s="7"/>
      <c r="BA64" s="7"/>
    </row>
    <row r="65" spans="51:53" ht="12.75">
      <c r="AY65" s="7"/>
      <c r="AZ65" s="7"/>
      <c r="BA65" s="7"/>
    </row>
    <row r="66" spans="51:53" ht="12.75">
      <c r="AY66" s="7"/>
      <c r="AZ66" s="7"/>
      <c r="BA66" s="7"/>
    </row>
    <row r="67" spans="51:53" ht="12.75">
      <c r="AY67" s="7"/>
      <c r="AZ67" s="7"/>
      <c r="BA67" s="7"/>
    </row>
  </sheetData>
  <sheetProtection/>
  <printOptions/>
  <pageMargins left="0.4724409448818898" right="0.2362204724409449" top="1.1811023622047245" bottom="0.4724409448818898" header="0.5118110236220472" footer="0.5118110236220472"/>
  <pageSetup firstPageNumber="26" useFirstPageNumber="1" horizontalDpi="600" verticalDpi="600" orientation="portrait" paperSize="9" scale="98" r:id="rId1"/>
  <headerFooter alignWithMargins="0">
    <oddHeader>&amp;C&amp;"Times New Roman,Bold"&amp;14 3.3. SJÓÐSTREYMI ÁRIÐ 2004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I162"/>
  <sheetViews>
    <sheetView zoomScalePageLayoutView="0" workbookViewId="0" topLeftCell="A1">
      <pane xSplit="1" ySplit="6" topLeftCell="B7" activePane="bottomRight" state="frozen"/>
      <selection pane="topLeft" activeCell="AJ6" sqref="AJ6"/>
      <selection pane="topRight" activeCell="AJ6" sqref="AJ6"/>
      <selection pane="bottomLeft" activeCell="AJ6" sqref="AJ6"/>
      <selection pane="bottomRight" activeCell="A1" sqref="A1"/>
    </sheetView>
  </sheetViews>
  <sheetFormatPr defaultColWidth="9.140625" defaultRowHeight="11.25" customHeight="1" outlineLevelRow="1"/>
  <cols>
    <col min="1" max="1" width="28.00390625" style="147" customWidth="1"/>
    <col min="2" max="2" width="10.140625" style="147" customWidth="1"/>
    <col min="3" max="3" width="10.7109375" style="147" customWidth="1"/>
    <col min="4" max="4" width="10.57421875" style="147" customWidth="1"/>
    <col min="5" max="6" width="10.140625" style="147" customWidth="1"/>
    <col min="7" max="7" width="10.57421875" style="147" customWidth="1"/>
    <col min="8" max="8" width="8.8515625" style="147" customWidth="1"/>
    <col min="9" max="9" width="10.00390625" style="147" customWidth="1"/>
    <col min="10" max="10" width="10.7109375" style="147" customWidth="1"/>
    <col min="11" max="12" width="10.00390625" style="147" customWidth="1"/>
    <col min="13" max="13" width="10.140625" style="147" customWidth="1"/>
    <col min="14" max="14" width="9.8515625" style="147" customWidth="1"/>
    <col min="15" max="15" width="8.8515625" style="147" customWidth="1"/>
    <col min="16" max="16" width="10.28125" style="147" customWidth="1"/>
    <col min="17" max="17" width="9.57421875" style="147" customWidth="1"/>
    <col min="18" max="18" width="9.28125" style="147" customWidth="1"/>
    <col min="19" max="19" width="11.28125" style="147" customWidth="1"/>
    <col min="20" max="20" width="10.28125" style="147" customWidth="1"/>
    <col min="21" max="27" width="10.00390625" style="147" customWidth="1"/>
    <col min="28" max="31" width="10.140625" style="147" customWidth="1"/>
    <col min="32" max="34" width="10.00390625" style="147" customWidth="1"/>
    <col min="35" max="35" width="11.00390625" style="147" bestFit="1" customWidth="1"/>
    <col min="36" max="36" width="8.8515625" style="147" customWidth="1"/>
    <col min="37" max="40" width="9.28125" style="147" customWidth="1"/>
    <col min="41" max="41" width="9.8515625" style="147" customWidth="1"/>
    <col min="42" max="42" width="10.8515625" style="147" customWidth="1"/>
    <col min="43" max="45" width="9.28125" style="147" customWidth="1"/>
    <col min="46" max="46" width="10.28125" style="147" customWidth="1"/>
    <col min="47" max="47" width="9.8515625" style="147" customWidth="1"/>
    <col min="48" max="50" width="10.57421875" style="147" customWidth="1"/>
    <col min="51" max="51" width="12.7109375" style="147" customWidth="1"/>
    <col min="52" max="52" width="8.57421875" style="147" customWidth="1"/>
    <col min="53" max="53" width="9.7109375" style="147" customWidth="1"/>
    <col min="54" max="54" width="8.7109375" style="147" customWidth="1"/>
    <col min="55" max="55" width="9.28125" style="147" customWidth="1"/>
    <col min="56" max="56" width="3.7109375" style="147" customWidth="1"/>
    <col min="57" max="57" width="9.28125" style="147" customWidth="1"/>
    <col min="58" max="58" width="1.1484375" style="147" customWidth="1"/>
    <col min="59" max="60" width="9.421875" style="147" customWidth="1"/>
    <col min="61" max="61" width="2.57421875" style="147" customWidth="1"/>
    <col min="62" max="16384" width="9.140625" style="147" customWidth="1"/>
  </cols>
  <sheetData>
    <row r="1" spans="1:61" ht="11.25" customHeight="1">
      <c r="A1" s="16"/>
      <c r="B1" s="358" t="s">
        <v>69</v>
      </c>
      <c r="C1" s="358"/>
      <c r="D1" s="143" t="s">
        <v>69</v>
      </c>
      <c r="E1" s="143" t="s">
        <v>69</v>
      </c>
      <c r="F1" s="143" t="s">
        <v>69</v>
      </c>
      <c r="G1" s="358" t="s">
        <v>70</v>
      </c>
      <c r="H1" s="358"/>
      <c r="I1" s="143" t="s">
        <v>69</v>
      </c>
      <c r="J1" s="143" t="s">
        <v>73</v>
      </c>
      <c r="K1" s="143" t="s">
        <v>71</v>
      </c>
      <c r="L1" s="143" t="s">
        <v>481</v>
      </c>
      <c r="M1" s="143" t="s">
        <v>69</v>
      </c>
      <c r="N1" s="358" t="s">
        <v>69</v>
      </c>
      <c r="O1" s="358"/>
      <c r="P1" s="358" t="s">
        <v>72</v>
      </c>
      <c r="Q1" s="358"/>
      <c r="R1" s="143" t="s">
        <v>69</v>
      </c>
      <c r="S1" s="143" t="s">
        <v>69</v>
      </c>
      <c r="T1" s="143" t="s">
        <v>69</v>
      </c>
      <c r="U1" s="143" t="s">
        <v>69</v>
      </c>
      <c r="V1" s="143" t="s">
        <v>69</v>
      </c>
      <c r="W1" s="143" t="s">
        <v>69</v>
      </c>
      <c r="X1" s="143" t="s">
        <v>69</v>
      </c>
      <c r="Y1" s="143" t="s">
        <v>69</v>
      </c>
      <c r="Z1" s="358" t="s">
        <v>69</v>
      </c>
      <c r="AA1" s="358" t="s">
        <v>69</v>
      </c>
      <c r="AB1" s="143" t="s">
        <v>69</v>
      </c>
      <c r="AC1" s="143" t="s">
        <v>69</v>
      </c>
      <c r="AD1" s="143" t="s">
        <v>76</v>
      </c>
      <c r="AE1" s="143" t="s">
        <v>74</v>
      </c>
      <c r="AF1" s="143" t="s">
        <v>69</v>
      </c>
      <c r="AG1" s="143" t="s">
        <v>69</v>
      </c>
      <c r="AH1" s="143" t="s">
        <v>77</v>
      </c>
      <c r="AI1" s="358" t="s">
        <v>69</v>
      </c>
      <c r="AJ1" s="358" t="s">
        <v>69</v>
      </c>
      <c r="AK1" s="143" t="s">
        <v>69</v>
      </c>
      <c r="AL1" s="143" t="s">
        <v>69</v>
      </c>
      <c r="AM1" s="143" t="s">
        <v>69</v>
      </c>
      <c r="AN1" s="143" t="s">
        <v>69</v>
      </c>
      <c r="AO1" s="143" t="s">
        <v>69</v>
      </c>
      <c r="AP1" s="143" t="s">
        <v>77</v>
      </c>
      <c r="AQ1" s="143" t="s">
        <v>69</v>
      </c>
      <c r="AR1" s="143" t="s">
        <v>69</v>
      </c>
      <c r="AS1" s="143" t="s">
        <v>69</v>
      </c>
      <c r="AT1" s="143" t="s">
        <v>77</v>
      </c>
      <c r="AU1" s="143" t="s">
        <v>77</v>
      </c>
      <c r="AV1" s="143" t="s">
        <v>77</v>
      </c>
      <c r="AW1" s="143" t="s">
        <v>69</v>
      </c>
      <c r="AX1" s="143" t="s">
        <v>75</v>
      </c>
      <c r="AY1" s="143" t="s">
        <v>69</v>
      </c>
      <c r="AZ1" s="143" t="s">
        <v>69</v>
      </c>
      <c r="BA1" s="143" t="s">
        <v>77</v>
      </c>
      <c r="BB1" s="143" t="s">
        <v>69</v>
      </c>
      <c r="BC1" s="143" t="s">
        <v>69</v>
      </c>
      <c r="BE1" s="143"/>
      <c r="BF1" s="143"/>
      <c r="BG1" s="143" t="s">
        <v>69</v>
      </c>
      <c r="BH1" s="143" t="s">
        <v>69</v>
      </c>
      <c r="BI1" s="143"/>
    </row>
    <row r="2" spans="1:61" ht="11.25" customHeight="1">
      <c r="A2" s="148" t="s">
        <v>62</v>
      </c>
      <c r="B2" s="358" t="s">
        <v>376</v>
      </c>
      <c r="C2" s="358"/>
      <c r="D2" s="143" t="s">
        <v>80</v>
      </c>
      <c r="E2" s="143" t="s">
        <v>82</v>
      </c>
      <c r="F2" s="143" t="s">
        <v>84</v>
      </c>
      <c r="G2" s="358" t="s">
        <v>83</v>
      </c>
      <c r="H2" s="358"/>
      <c r="I2" s="143" t="s">
        <v>85</v>
      </c>
      <c r="J2" s="143" t="s">
        <v>83</v>
      </c>
      <c r="K2" s="143" t="s">
        <v>83</v>
      </c>
      <c r="L2" s="143" t="s">
        <v>95</v>
      </c>
      <c r="M2" s="143" t="s">
        <v>87</v>
      </c>
      <c r="N2" s="358" t="s">
        <v>86</v>
      </c>
      <c r="O2" s="358" t="s">
        <v>86</v>
      </c>
      <c r="P2" s="358" t="s">
        <v>83</v>
      </c>
      <c r="Q2" s="358" t="s">
        <v>83</v>
      </c>
      <c r="R2" s="143" t="s">
        <v>90</v>
      </c>
      <c r="S2" s="143" t="s">
        <v>88</v>
      </c>
      <c r="T2" s="143" t="s">
        <v>89</v>
      </c>
      <c r="U2" s="143" t="s">
        <v>93</v>
      </c>
      <c r="V2" s="143" t="s">
        <v>96</v>
      </c>
      <c r="W2" s="143" t="s">
        <v>92</v>
      </c>
      <c r="X2" s="143" t="s">
        <v>94</v>
      </c>
      <c r="Y2" s="143" t="s">
        <v>517</v>
      </c>
      <c r="Z2" s="358" t="s">
        <v>100</v>
      </c>
      <c r="AA2" s="358" t="s">
        <v>100</v>
      </c>
      <c r="AB2" s="143" t="s">
        <v>97</v>
      </c>
      <c r="AC2" s="143" t="s">
        <v>100</v>
      </c>
      <c r="AD2" s="143" t="s">
        <v>83</v>
      </c>
      <c r="AE2" s="143" t="s">
        <v>98</v>
      </c>
      <c r="AF2" s="143" t="s">
        <v>100</v>
      </c>
      <c r="AG2" s="143" t="s">
        <v>101</v>
      </c>
      <c r="AH2" s="143" t="s">
        <v>100</v>
      </c>
      <c r="AI2" s="358" t="s">
        <v>102</v>
      </c>
      <c r="AJ2" s="358" t="s">
        <v>102</v>
      </c>
      <c r="AK2" s="143" t="s">
        <v>105</v>
      </c>
      <c r="AL2" s="143" t="s">
        <v>104</v>
      </c>
      <c r="AM2" s="143" t="s">
        <v>103</v>
      </c>
      <c r="AN2" s="143" t="s">
        <v>109</v>
      </c>
      <c r="AO2" s="143" t="s">
        <v>106</v>
      </c>
      <c r="AP2" s="143" t="s">
        <v>107</v>
      </c>
      <c r="AQ2" s="143" t="s">
        <v>108</v>
      </c>
      <c r="AR2" s="143" t="s">
        <v>110</v>
      </c>
      <c r="AS2" s="143" t="s">
        <v>111</v>
      </c>
      <c r="AT2" s="143" t="s">
        <v>113</v>
      </c>
      <c r="AU2" s="143" t="s">
        <v>112</v>
      </c>
      <c r="AV2" s="143" t="s">
        <v>114</v>
      </c>
      <c r="AW2" s="143" t="s">
        <v>100</v>
      </c>
      <c r="AX2" s="143" t="s">
        <v>99</v>
      </c>
      <c r="AY2" s="143" t="s">
        <v>395</v>
      </c>
      <c r="AZ2" s="143" t="s">
        <v>115</v>
      </c>
      <c r="BA2" s="143" t="s">
        <v>116</v>
      </c>
      <c r="BB2" s="143" t="s">
        <v>118</v>
      </c>
      <c r="BC2" s="143" t="s">
        <v>117</v>
      </c>
      <c r="BE2" s="143" t="s">
        <v>119</v>
      </c>
      <c r="BF2" s="143"/>
      <c r="BG2" s="143" t="s">
        <v>120</v>
      </c>
      <c r="BH2" s="143" t="s">
        <v>121</v>
      </c>
      <c r="BI2" s="143"/>
    </row>
    <row r="3" spans="1:61" ht="11.25" customHeight="1">
      <c r="A3" s="16"/>
      <c r="B3" s="153" t="s">
        <v>375</v>
      </c>
      <c r="C3" s="153" t="s">
        <v>375</v>
      </c>
      <c r="D3" s="143" t="s">
        <v>125</v>
      </c>
      <c r="E3" s="152"/>
      <c r="F3" s="152"/>
      <c r="G3" s="358" t="s">
        <v>99</v>
      </c>
      <c r="H3" s="358"/>
      <c r="I3" s="143" t="s">
        <v>377</v>
      </c>
      <c r="J3" s="143" t="s">
        <v>99</v>
      </c>
      <c r="K3" s="143" t="s">
        <v>124</v>
      </c>
      <c r="L3" s="143"/>
      <c r="M3" s="152"/>
      <c r="N3" s="358" t="s">
        <v>125</v>
      </c>
      <c r="O3" s="358" t="s">
        <v>125</v>
      </c>
      <c r="P3" s="358" t="s">
        <v>99</v>
      </c>
      <c r="Q3" s="358" t="s">
        <v>99</v>
      </c>
      <c r="R3" s="143" t="s">
        <v>57</v>
      </c>
      <c r="S3" s="143" t="s">
        <v>123</v>
      </c>
      <c r="T3" s="143" t="s">
        <v>126</v>
      </c>
      <c r="U3" s="143" t="s">
        <v>128</v>
      </c>
      <c r="V3" s="143" t="s">
        <v>128</v>
      </c>
      <c r="W3" s="143" t="s">
        <v>127</v>
      </c>
      <c r="X3" s="143" t="s">
        <v>378</v>
      </c>
      <c r="Y3" s="143" t="s">
        <v>57</v>
      </c>
      <c r="Z3" s="358" t="s">
        <v>139</v>
      </c>
      <c r="AA3" s="358" t="s">
        <v>139</v>
      </c>
      <c r="AB3" s="143" t="s">
        <v>377</v>
      </c>
      <c r="AC3" s="143" t="s">
        <v>134</v>
      </c>
      <c r="AD3" s="143" t="s">
        <v>99</v>
      </c>
      <c r="AE3" s="143" t="s">
        <v>131</v>
      </c>
      <c r="AF3" s="143" t="s">
        <v>132</v>
      </c>
      <c r="AG3" s="143"/>
      <c r="AH3" s="143" t="s">
        <v>136</v>
      </c>
      <c r="AI3" s="358" t="s">
        <v>379</v>
      </c>
      <c r="AJ3" s="358" t="s">
        <v>379</v>
      </c>
      <c r="AK3" s="143"/>
      <c r="AL3" s="143" t="s">
        <v>138</v>
      </c>
      <c r="AM3" s="143" t="s">
        <v>137</v>
      </c>
      <c r="AN3" s="143" t="s">
        <v>137</v>
      </c>
      <c r="AO3" s="143" t="s">
        <v>372</v>
      </c>
      <c r="AP3" s="143" t="s">
        <v>140</v>
      </c>
      <c r="AQ3" s="143" t="s">
        <v>141</v>
      </c>
      <c r="AR3" s="143" t="s">
        <v>143</v>
      </c>
      <c r="AS3" s="143" t="s">
        <v>144</v>
      </c>
      <c r="AT3" s="143" t="s">
        <v>145</v>
      </c>
      <c r="AU3" s="143" t="s">
        <v>101</v>
      </c>
      <c r="AV3" s="143" t="s">
        <v>146</v>
      </c>
      <c r="AW3" s="143" t="s">
        <v>147</v>
      </c>
      <c r="AX3" s="143" t="s">
        <v>148</v>
      </c>
      <c r="AY3" s="143" t="s">
        <v>394</v>
      </c>
      <c r="AZ3" s="143" t="s">
        <v>149</v>
      </c>
      <c r="BA3" s="143" t="s">
        <v>150</v>
      </c>
      <c r="BB3" s="143" t="s">
        <v>152</v>
      </c>
      <c r="BC3" s="143" t="s">
        <v>151</v>
      </c>
      <c r="BE3" s="143" t="s">
        <v>153</v>
      </c>
      <c r="BF3" s="143"/>
      <c r="BG3" s="143" t="s">
        <v>154</v>
      </c>
      <c r="BH3" s="143" t="s">
        <v>154</v>
      </c>
      <c r="BI3" s="143"/>
    </row>
    <row r="4" spans="1:61" s="151" customFormat="1" ht="11.25" customHeight="1">
      <c r="A4" s="149"/>
      <c r="B4" s="362" t="s">
        <v>362</v>
      </c>
      <c r="C4" s="362"/>
      <c r="D4" s="150" t="s">
        <v>155</v>
      </c>
      <c r="E4" s="150" t="s">
        <v>159</v>
      </c>
      <c r="F4" s="150" t="s">
        <v>160</v>
      </c>
      <c r="G4" s="361" t="s">
        <v>163</v>
      </c>
      <c r="H4" s="361"/>
      <c r="I4" s="150" t="s">
        <v>164</v>
      </c>
      <c r="J4" s="150" t="s">
        <v>165</v>
      </c>
      <c r="K4" s="150" t="s">
        <v>166</v>
      </c>
      <c r="L4" s="150" t="s">
        <v>167</v>
      </c>
      <c r="M4" s="150" t="s">
        <v>168</v>
      </c>
      <c r="N4" s="361" t="s">
        <v>169</v>
      </c>
      <c r="O4" s="361"/>
      <c r="P4" s="361" t="s">
        <v>170</v>
      </c>
      <c r="Q4" s="361" t="s">
        <v>169</v>
      </c>
      <c r="R4" s="150" t="s">
        <v>171</v>
      </c>
      <c r="S4" s="150" t="s">
        <v>172</v>
      </c>
      <c r="T4" s="150" t="s">
        <v>173</v>
      </c>
      <c r="U4" s="150" t="s">
        <v>174</v>
      </c>
      <c r="V4" s="150" t="s">
        <v>175</v>
      </c>
      <c r="W4" s="150" t="s">
        <v>176</v>
      </c>
      <c r="X4" s="150" t="s">
        <v>177</v>
      </c>
      <c r="Y4" s="150" t="s">
        <v>178</v>
      </c>
      <c r="Z4" s="359" t="s">
        <v>179</v>
      </c>
      <c r="AA4" s="359" t="s">
        <v>185</v>
      </c>
      <c r="AB4" s="150" t="s">
        <v>180</v>
      </c>
      <c r="AC4" s="150" t="s">
        <v>477</v>
      </c>
      <c r="AD4" s="150" t="s">
        <v>181</v>
      </c>
      <c r="AE4" s="150" t="s">
        <v>182</v>
      </c>
      <c r="AF4" s="150" t="s">
        <v>183</v>
      </c>
      <c r="AG4" s="150" t="s">
        <v>184</v>
      </c>
      <c r="AH4" s="150" t="s">
        <v>185</v>
      </c>
      <c r="AI4" s="359" t="s">
        <v>186</v>
      </c>
      <c r="AJ4" s="360"/>
      <c r="AK4" s="150" t="s">
        <v>187</v>
      </c>
      <c r="AL4" s="150" t="s">
        <v>188</v>
      </c>
      <c r="AM4" s="150" t="s">
        <v>189</v>
      </c>
      <c r="AN4" s="150" t="s">
        <v>192</v>
      </c>
      <c r="AO4" s="150" t="s">
        <v>193</v>
      </c>
      <c r="AP4" s="150" t="s">
        <v>194</v>
      </c>
      <c r="AQ4" s="150" t="s">
        <v>195</v>
      </c>
      <c r="AR4" s="150" t="s">
        <v>196</v>
      </c>
      <c r="AS4" s="150" t="s">
        <v>198</v>
      </c>
      <c r="AT4" s="150" t="s">
        <v>199</v>
      </c>
      <c r="AU4" s="150" t="s">
        <v>200</v>
      </c>
      <c r="AV4" s="150" t="s">
        <v>201</v>
      </c>
      <c r="AW4" s="150" t="s">
        <v>202</v>
      </c>
      <c r="AX4" s="150" t="s">
        <v>203</v>
      </c>
      <c r="AY4" s="150" t="s">
        <v>204</v>
      </c>
      <c r="AZ4" s="150" t="s">
        <v>205</v>
      </c>
      <c r="BA4" s="150" t="s">
        <v>206</v>
      </c>
      <c r="BB4" s="150" t="s">
        <v>207</v>
      </c>
      <c r="BC4" s="150" t="s">
        <v>208</v>
      </c>
      <c r="BE4" s="143"/>
      <c r="BF4" s="143"/>
      <c r="BG4" s="143"/>
      <c r="BH4" s="143"/>
      <c r="BI4" s="143"/>
    </row>
    <row r="5" spans="1:61" s="21" customFormat="1" ht="11.25" customHeight="1">
      <c r="A5" s="22"/>
      <c r="B5" s="22" t="s">
        <v>156</v>
      </c>
      <c r="C5" s="22" t="s">
        <v>157</v>
      </c>
      <c r="D5" s="22"/>
      <c r="E5" s="22"/>
      <c r="F5" s="22"/>
      <c r="G5" s="22" t="s">
        <v>161</v>
      </c>
      <c r="H5" s="22" t="s">
        <v>162</v>
      </c>
      <c r="I5" s="22"/>
      <c r="J5" s="22"/>
      <c r="K5" s="22"/>
      <c r="L5" s="22"/>
      <c r="M5" s="22"/>
      <c r="N5" s="22" t="s">
        <v>60</v>
      </c>
      <c r="O5" s="22" t="s">
        <v>161</v>
      </c>
      <c r="P5" s="22" t="s">
        <v>161</v>
      </c>
      <c r="Q5" s="22" t="s">
        <v>61</v>
      </c>
      <c r="R5" s="22"/>
      <c r="S5" s="22" t="s">
        <v>351</v>
      </c>
      <c r="T5" s="22" t="s">
        <v>382</v>
      </c>
      <c r="U5" s="22"/>
      <c r="V5" s="22"/>
      <c r="W5" s="22"/>
      <c r="X5" s="22"/>
      <c r="Y5" s="22"/>
      <c r="Z5" s="22" t="s">
        <v>157</v>
      </c>
      <c r="AA5" s="22" t="s">
        <v>197</v>
      </c>
      <c r="AB5" s="22"/>
      <c r="AC5" s="22"/>
      <c r="AD5" s="22"/>
      <c r="AE5" s="22"/>
      <c r="AF5" s="22"/>
      <c r="AG5" s="22"/>
      <c r="AH5" s="22"/>
      <c r="AI5" s="22" t="s">
        <v>190</v>
      </c>
      <c r="AJ5" s="22" t="s">
        <v>191</v>
      </c>
      <c r="AK5" s="22"/>
      <c r="AL5" s="22"/>
      <c r="AM5" s="22"/>
      <c r="AN5" s="22"/>
      <c r="AO5" s="1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E5" s="22" t="s">
        <v>532</v>
      </c>
      <c r="BF5" s="22"/>
      <c r="BG5" s="22" t="s">
        <v>530</v>
      </c>
      <c r="BH5" s="22" t="s">
        <v>531</v>
      </c>
      <c r="BI5" s="22"/>
    </row>
    <row r="6" spans="1:61" s="21" customFormat="1" ht="11.25" customHeight="1">
      <c r="A6" s="140"/>
      <c r="B6" s="12"/>
      <c r="C6" s="12"/>
      <c r="D6" s="22"/>
      <c r="E6" s="22"/>
      <c r="F6" s="22"/>
      <c r="G6" s="22"/>
      <c r="H6" s="22" t="s">
        <v>158</v>
      </c>
      <c r="I6" s="22"/>
      <c r="J6" s="22"/>
      <c r="K6" s="22"/>
      <c r="L6" s="22"/>
      <c r="M6" s="22"/>
      <c r="N6" s="22" t="s">
        <v>158</v>
      </c>
      <c r="O6" s="22"/>
      <c r="P6" s="22"/>
      <c r="Q6" s="22" t="s">
        <v>158</v>
      </c>
      <c r="R6" s="22"/>
      <c r="S6" s="22" t="s">
        <v>158</v>
      </c>
      <c r="T6" s="22" t="s">
        <v>390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E6" s="12"/>
      <c r="BF6" s="12"/>
      <c r="BG6" s="12"/>
      <c r="BH6" s="12"/>
      <c r="BI6" s="12"/>
    </row>
    <row r="7" spans="1:61" ht="13.5" customHeight="1">
      <c r="A7" s="178" t="s">
        <v>462</v>
      </c>
      <c r="B7" s="16"/>
      <c r="C7" s="16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E7" s="16"/>
      <c r="BF7" s="16"/>
      <c r="BG7" s="16"/>
      <c r="BH7" s="16"/>
      <c r="BI7" s="16"/>
    </row>
    <row r="8" spans="1:61" ht="14.25" customHeight="1">
      <c r="A8" s="178" t="s">
        <v>461</v>
      </c>
      <c r="B8" s="16"/>
      <c r="C8" s="16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E8" s="16"/>
      <c r="BF8" s="16"/>
      <c r="BG8" s="16"/>
      <c r="BH8" s="16"/>
      <c r="BI8" s="16"/>
    </row>
    <row r="9" spans="1:61" ht="11.25" customHeight="1" hidden="1" outlineLevel="1">
      <c r="A9" s="154" t="s">
        <v>264</v>
      </c>
      <c r="B9" s="16"/>
      <c r="C9" s="16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7"/>
      <c r="AN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E9" s="16"/>
      <c r="BF9" s="16"/>
      <c r="BG9" s="16"/>
      <c r="BH9" s="16"/>
      <c r="BI9" s="16"/>
    </row>
    <row r="10" spans="1:61" ht="11.25" customHeight="1" hidden="1" outlineLevel="1">
      <c r="A10" s="155" t="s">
        <v>265</v>
      </c>
      <c r="B10" s="157">
        <v>828142</v>
      </c>
      <c r="C10" s="157">
        <v>2058650</v>
      </c>
      <c r="D10" s="157">
        <v>3384760</v>
      </c>
      <c r="E10" s="156">
        <v>1408260.535</v>
      </c>
      <c r="F10" s="156">
        <v>732380</v>
      </c>
      <c r="G10" s="156">
        <v>968647.5</v>
      </c>
      <c r="H10" s="156">
        <v>203576</v>
      </c>
      <c r="I10" s="156">
        <v>692199</v>
      </c>
      <c r="J10" s="157">
        <v>396548</v>
      </c>
      <c r="K10" s="156">
        <v>655134</v>
      </c>
      <c r="L10" s="157">
        <v>443195</v>
      </c>
      <c r="M10" s="157">
        <v>620460</v>
      </c>
      <c r="N10" s="157">
        <v>75601</v>
      </c>
      <c r="O10" s="157">
        <v>244891</v>
      </c>
      <c r="P10" s="156">
        <v>140184</v>
      </c>
      <c r="Q10" s="156">
        <v>142674</v>
      </c>
      <c r="R10" s="156">
        <v>302780</v>
      </c>
      <c r="S10" s="156">
        <v>427041</v>
      </c>
      <c r="T10" s="157">
        <v>179039</v>
      </c>
      <c r="U10" s="156">
        <v>428764</v>
      </c>
      <c r="V10" s="157">
        <v>83628</v>
      </c>
      <c r="W10" s="157">
        <v>348792</v>
      </c>
      <c r="X10" s="157">
        <v>179267</v>
      </c>
      <c r="Y10" s="157">
        <v>138631</v>
      </c>
      <c r="Z10" s="156">
        <v>577196.723</v>
      </c>
      <c r="AA10" s="156">
        <v>43385.192</v>
      </c>
      <c r="AB10" s="156">
        <v>215253</v>
      </c>
      <c r="AC10" s="157">
        <v>134319</v>
      </c>
      <c r="AD10" s="156">
        <f>101754920/1000</f>
        <v>101754.92</v>
      </c>
      <c r="AE10" s="8">
        <v>112164</v>
      </c>
      <c r="AF10" s="8">
        <v>22533.24</v>
      </c>
      <c r="AG10" s="157">
        <v>170153</v>
      </c>
      <c r="AH10" s="156">
        <v>0</v>
      </c>
      <c r="AI10" s="156">
        <v>0</v>
      </c>
      <c r="AJ10" s="156">
        <v>0</v>
      </c>
      <c r="AK10" s="156">
        <v>52378</v>
      </c>
      <c r="AL10" s="157">
        <v>39253</v>
      </c>
      <c r="AM10" s="157">
        <v>0</v>
      </c>
      <c r="AN10" s="156">
        <v>15375</v>
      </c>
      <c r="AO10" s="157">
        <v>18907</v>
      </c>
      <c r="AP10" s="157">
        <v>21701</v>
      </c>
      <c r="AQ10" s="157">
        <v>0</v>
      </c>
      <c r="AR10" s="157">
        <v>21359</v>
      </c>
      <c r="AS10" s="157">
        <v>7336</v>
      </c>
      <c r="AT10" s="157">
        <v>0</v>
      </c>
      <c r="AU10" s="157">
        <v>0</v>
      </c>
      <c r="AV10" s="8">
        <v>14109</v>
      </c>
      <c r="AW10" s="157">
        <v>0</v>
      </c>
      <c r="AX10" s="157">
        <v>0</v>
      </c>
      <c r="AY10" s="157">
        <f>2866384/1000</f>
        <v>2866.384</v>
      </c>
      <c r="AZ10" s="157">
        <v>2175</v>
      </c>
      <c r="BA10" s="157">
        <v>0</v>
      </c>
      <c r="BB10" s="157">
        <v>0</v>
      </c>
      <c r="BC10" s="157">
        <v>4670</v>
      </c>
      <c r="BE10" s="16">
        <f>SUM(B10:BC10)</f>
        <v>16660132.493999999</v>
      </c>
      <c r="BF10" s="16"/>
      <c r="BG10" s="16">
        <f>+B10+AC10+AH10+AJ10+AO10+AP10+AR10+AS10+AV10+AY10+AZ10+BA10+BC10+V10</f>
        <v>1139212.384</v>
      </c>
      <c r="BH10" s="16">
        <f>+C10+D10+E10+F10+G10+H10+I10+J10+K10+L10+M10+N10+O10+P10+Q10+R10+S10+T10+U10+W10+X10+Y10+Z10+AA10+AB10+AD10+AE10+AF10+AG10+AI10+AK10+AL10+AM10+AN10+AQ10+AT10+AU10+AW10+AX10+BB10</f>
        <v>15520920.11</v>
      </c>
      <c r="BI10" s="157"/>
    </row>
    <row r="11" spans="1:61" ht="11.25" customHeight="1" hidden="1" outlineLevel="1">
      <c r="A11" s="155" t="s">
        <v>266</v>
      </c>
      <c r="B11" s="157">
        <v>1422180</v>
      </c>
      <c r="C11" s="157">
        <v>5909409</v>
      </c>
      <c r="D11" s="156">
        <v>4887579</v>
      </c>
      <c r="E11" s="156">
        <v>2112390.8</v>
      </c>
      <c r="F11" s="156">
        <v>1098577</v>
      </c>
      <c r="G11" s="156">
        <v>1452653.5</v>
      </c>
      <c r="H11" s="156">
        <v>304610</v>
      </c>
      <c r="I11" s="156">
        <v>1037113</v>
      </c>
      <c r="J11" s="157">
        <v>593975</v>
      </c>
      <c r="K11" s="156">
        <v>987900</v>
      </c>
      <c r="L11" s="157">
        <v>677833</v>
      </c>
      <c r="M11" s="157">
        <v>907704</v>
      </c>
      <c r="N11" s="157">
        <v>275216</v>
      </c>
      <c r="O11" s="157">
        <v>369046</v>
      </c>
      <c r="P11" s="156">
        <v>210276</v>
      </c>
      <c r="Q11" s="156">
        <v>214010</v>
      </c>
      <c r="R11" s="156">
        <v>490711</v>
      </c>
      <c r="S11" s="156">
        <v>640562</v>
      </c>
      <c r="T11" s="157">
        <v>279756</v>
      </c>
      <c r="U11" s="156">
        <v>827150</v>
      </c>
      <c r="V11" s="156">
        <v>139981</v>
      </c>
      <c r="W11" s="156">
        <v>523187</v>
      </c>
      <c r="X11" s="156">
        <v>267231</v>
      </c>
      <c r="Y11" s="156">
        <v>246346</v>
      </c>
      <c r="Z11" s="156">
        <v>1659544.924</v>
      </c>
      <c r="AA11" s="156">
        <v>115318.214</v>
      </c>
      <c r="AB11" s="156">
        <v>323219</v>
      </c>
      <c r="AC11" s="156">
        <v>347846</v>
      </c>
      <c r="AD11" s="156">
        <v>151939.831</v>
      </c>
      <c r="AE11" s="79">
        <v>448657</v>
      </c>
      <c r="AF11" s="79">
        <v>82299.315</v>
      </c>
      <c r="AG11" s="156">
        <v>255229</v>
      </c>
      <c r="AH11" s="156">
        <v>495363</v>
      </c>
      <c r="AI11" s="156">
        <v>0</v>
      </c>
      <c r="AJ11" s="156">
        <v>0</v>
      </c>
      <c r="AK11" s="156">
        <v>78510</v>
      </c>
      <c r="AL11" s="156">
        <v>58879</v>
      </c>
      <c r="AM11" s="157">
        <v>0</v>
      </c>
      <c r="AN11" s="156">
        <v>23075</v>
      </c>
      <c r="AO11" s="157">
        <v>28361</v>
      </c>
      <c r="AP11" s="157">
        <v>47205</v>
      </c>
      <c r="AQ11" s="156">
        <v>0</v>
      </c>
      <c r="AR11" s="156">
        <v>110163</v>
      </c>
      <c r="AS11" s="157">
        <v>11005</v>
      </c>
      <c r="AT11" s="156">
        <v>0</v>
      </c>
      <c r="AU11" s="156">
        <v>0</v>
      </c>
      <c r="AV11" s="79">
        <v>21164</v>
      </c>
      <c r="AW11" s="156">
        <v>0</v>
      </c>
      <c r="AX11" s="156">
        <v>0</v>
      </c>
      <c r="AY11" s="156">
        <f>4299584/1000</f>
        <v>4299.584</v>
      </c>
      <c r="AZ11" s="156">
        <v>3262</v>
      </c>
      <c r="BA11" s="156">
        <v>0</v>
      </c>
      <c r="BB11" s="157">
        <v>0</v>
      </c>
      <c r="BC11" s="157">
        <v>7005</v>
      </c>
      <c r="BE11" s="16">
        <f>SUM(B11:BC11)</f>
        <v>30147741.168</v>
      </c>
      <c r="BF11" s="16"/>
      <c r="BG11" s="16">
        <f>+B11+AC11+AH11+AJ11+AO11+AP11+AR11+AS11+AV11+AY11+AZ11+BA11+BC11+V11</f>
        <v>2637834.584</v>
      </c>
      <c r="BH11" s="16">
        <f>+C11+D11+E11+F11+G11+H11+I11+J11+K11+L11+M11+N11+O11+P11+Q11+R11+S11+T11+U11+W11+X11+Y11+Z11+AA11+AB11+AD11+AE11+AF11+AG11+AI11+AK11+AL11+AM11+AN11+AQ11+AT11+AU11+AW11+AX11+BB11</f>
        <v>27509906.584000003</v>
      </c>
      <c r="BI11" s="157"/>
    </row>
    <row r="12" spans="1:61" ht="11.25" customHeight="1" hidden="1" outlineLevel="1">
      <c r="A12" s="155" t="s">
        <v>267</v>
      </c>
      <c r="B12" s="157">
        <v>-4449</v>
      </c>
      <c r="C12" s="157">
        <v>6636</v>
      </c>
      <c r="D12" s="156">
        <v>0</v>
      </c>
      <c r="E12" s="156">
        <v>-41072.6</v>
      </c>
      <c r="F12" s="156">
        <v>-182</v>
      </c>
      <c r="G12" s="156">
        <v>62</v>
      </c>
      <c r="H12" s="156">
        <v>-3152</v>
      </c>
      <c r="I12" s="156">
        <v>42</v>
      </c>
      <c r="J12" s="157">
        <v>-2472</v>
      </c>
      <c r="K12" s="156">
        <v>-45239</v>
      </c>
      <c r="L12" s="157">
        <v>-3220</v>
      </c>
      <c r="M12" s="157">
        <v>3192</v>
      </c>
      <c r="N12" s="157">
        <v>-3400</v>
      </c>
      <c r="O12" s="157">
        <v>-235</v>
      </c>
      <c r="P12" s="156">
        <v>-4188</v>
      </c>
      <c r="Q12" s="156">
        <v>0</v>
      </c>
      <c r="R12" s="156">
        <v>-509</v>
      </c>
      <c r="S12" s="156">
        <v>-6499</v>
      </c>
      <c r="T12" s="157">
        <v>-4400</v>
      </c>
      <c r="U12" s="156">
        <v>2556</v>
      </c>
      <c r="V12" s="156">
        <v>-27</v>
      </c>
      <c r="W12" s="156">
        <v>-4543</v>
      </c>
      <c r="X12" s="156">
        <v>-1650</v>
      </c>
      <c r="Y12" s="156">
        <v>2970</v>
      </c>
      <c r="Z12" s="156">
        <v>2007.773</v>
      </c>
      <c r="AA12" s="156">
        <v>-939.422</v>
      </c>
      <c r="AB12" s="156">
        <v>-3588</v>
      </c>
      <c r="AC12" s="156">
        <v>-7334</v>
      </c>
      <c r="AD12" s="156">
        <v>-118.238</v>
      </c>
      <c r="AE12" s="79"/>
      <c r="AF12" s="157">
        <v>0</v>
      </c>
      <c r="AG12" s="156">
        <v>-2576</v>
      </c>
      <c r="AH12" s="156">
        <v>2567</v>
      </c>
      <c r="AI12" s="156">
        <v>-737</v>
      </c>
      <c r="AJ12" s="156">
        <v>0</v>
      </c>
      <c r="AK12" s="156">
        <v>-11842</v>
      </c>
      <c r="AL12" s="156">
        <v>-1308</v>
      </c>
      <c r="AM12" s="157">
        <v>0</v>
      </c>
      <c r="AN12" s="156">
        <v>0</v>
      </c>
      <c r="AO12" s="157">
        <v>50</v>
      </c>
      <c r="AP12" s="156">
        <v>0</v>
      </c>
      <c r="AQ12" s="156">
        <v>-735</v>
      </c>
      <c r="AR12" s="156">
        <v>-214</v>
      </c>
      <c r="AS12" s="157">
        <v>-158</v>
      </c>
      <c r="AT12" s="156">
        <v>-247.051</v>
      </c>
      <c r="AU12" s="156">
        <v>-804.539</v>
      </c>
      <c r="AV12" s="79">
        <v>0</v>
      </c>
      <c r="AW12" s="156">
        <v>0</v>
      </c>
      <c r="AX12" s="156">
        <v>-12</v>
      </c>
      <c r="AY12" s="156">
        <v>0</v>
      </c>
      <c r="AZ12" s="156">
        <v>0</v>
      </c>
      <c r="BA12" s="156">
        <v>0</v>
      </c>
      <c r="BB12" s="157">
        <v>0</v>
      </c>
      <c r="BC12" s="157">
        <v>0</v>
      </c>
      <c r="BE12" s="16">
        <f>SUM(B12:BC12)</f>
        <v>-135768.07700000002</v>
      </c>
      <c r="BF12" s="16"/>
      <c r="BG12" s="16">
        <f>+B12+AC12+AH12+AJ12+AO12+AP12+AR12+AS12+AV12+AY12+AZ12+BA12+BC12+V12</f>
        <v>-9565</v>
      </c>
      <c r="BH12" s="16">
        <f>+C12+D12+E12+F12+G12+H12+I12+J12+K12+L12+M12+N12+O12+P12+Q12+R12+S12+T12+U12+W12+X12+Y12+Z12+AA12+AB12+AD12+AE12+AF12+AG12+AI12+AK12+AL12+AM12+AN12+AQ12+AT12+AU12+AW12+AX12+BB12</f>
        <v>-126203.07700000002</v>
      </c>
      <c r="BI12" s="157"/>
    </row>
    <row r="13" spans="1:61" ht="11.25" customHeight="1" hidden="1" outlineLevel="1">
      <c r="A13" s="155" t="s">
        <v>268</v>
      </c>
      <c r="B13" s="157">
        <v>13464239</v>
      </c>
      <c r="C13" s="157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47">
        <v>0</v>
      </c>
      <c r="K13" s="156">
        <v>0</v>
      </c>
      <c r="L13" s="157">
        <v>0</v>
      </c>
      <c r="M13" s="157">
        <v>0</v>
      </c>
      <c r="N13" s="157"/>
      <c r="O13" s="157"/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1284784</v>
      </c>
      <c r="W13" s="157">
        <v>0</v>
      </c>
      <c r="X13" s="157">
        <v>0</v>
      </c>
      <c r="Y13" s="157">
        <v>0</v>
      </c>
      <c r="Z13" s="156">
        <v>0</v>
      </c>
      <c r="AA13" s="156">
        <v>0</v>
      </c>
      <c r="AB13" s="156">
        <v>0</v>
      </c>
      <c r="AC13" s="156">
        <v>1034682</v>
      </c>
      <c r="AD13" s="156"/>
      <c r="AE13" s="79"/>
      <c r="AF13" s="157">
        <v>0</v>
      </c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156">
        <v>0</v>
      </c>
      <c r="AM13" s="157">
        <v>0</v>
      </c>
      <c r="AN13" s="156">
        <v>0</v>
      </c>
      <c r="AO13" s="157">
        <v>65143</v>
      </c>
      <c r="AP13" s="157">
        <v>59770</v>
      </c>
      <c r="AQ13" s="156">
        <v>12409</v>
      </c>
      <c r="AR13" s="156">
        <v>0</v>
      </c>
      <c r="AS13" s="157">
        <v>0</v>
      </c>
      <c r="AT13" s="156">
        <v>0</v>
      </c>
      <c r="AU13" s="156">
        <v>0</v>
      </c>
      <c r="AV13" s="156">
        <v>42485</v>
      </c>
      <c r="AW13" s="156">
        <v>84</v>
      </c>
      <c r="AX13" s="156">
        <v>0</v>
      </c>
      <c r="AY13" s="156">
        <f>26614980/1000</f>
        <v>26614.98</v>
      </c>
      <c r="AZ13" s="156">
        <v>24164</v>
      </c>
      <c r="BA13" s="156">
        <v>130000</v>
      </c>
      <c r="BB13" s="157">
        <v>0</v>
      </c>
      <c r="BC13" s="157">
        <v>15577</v>
      </c>
      <c r="BE13" s="16">
        <f>SUM(B13:BC13)</f>
        <v>16159951.98</v>
      </c>
      <c r="BF13" s="16"/>
      <c r="BG13" s="16">
        <f>+B13+AC13+AH13+AJ13+AO13+AP13+AR13+AS13+AV13+AY13+AZ13+BA13+BC13+V13</f>
        <v>16147458.98</v>
      </c>
      <c r="BH13" s="16">
        <f>+C13+D13+E13+F13+G13+H13+I13+J13+K13+L13+M13+N13+O13+P13+Q13+R13+S13+T13+U13+W13+X13+Y13+Z13+AA13+AB13+AD13+AE13+AF13+AG13+AI13+AK13+AL13+AM13+AN13+AQ13+AT13+AU13+AW13+AX13+BB13</f>
        <v>12493</v>
      </c>
      <c r="BI13" s="157"/>
    </row>
    <row r="14" spans="1:61" ht="11.25" customHeight="1" collapsed="1">
      <c r="A14" s="154" t="s">
        <v>399</v>
      </c>
      <c r="B14" s="16">
        <f aca="true" t="shared" si="0" ref="B14:AO14">SUM(B10:B13)</f>
        <v>15710112</v>
      </c>
      <c r="C14" s="16">
        <f t="shared" si="0"/>
        <v>7974695</v>
      </c>
      <c r="D14" s="16">
        <f t="shared" si="0"/>
        <v>8272339</v>
      </c>
      <c r="E14" s="16">
        <f t="shared" si="0"/>
        <v>3479578.735</v>
      </c>
      <c r="F14" s="16">
        <f t="shared" si="0"/>
        <v>1830775</v>
      </c>
      <c r="G14" s="16">
        <f t="shared" si="0"/>
        <v>2421363</v>
      </c>
      <c r="H14" s="16">
        <f t="shared" si="0"/>
        <v>505034</v>
      </c>
      <c r="I14" s="16">
        <f t="shared" si="0"/>
        <v>1729354</v>
      </c>
      <c r="J14" s="16">
        <f>SUM(J10:J13)</f>
        <v>988051</v>
      </c>
      <c r="K14" s="16">
        <f t="shared" si="0"/>
        <v>1597795</v>
      </c>
      <c r="L14" s="16">
        <f t="shared" si="0"/>
        <v>1117808</v>
      </c>
      <c r="M14" s="16">
        <f t="shared" si="0"/>
        <v>1531356</v>
      </c>
      <c r="N14" s="16">
        <f t="shared" si="0"/>
        <v>347417</v>
      </c>
      <c r="O14" s="16">
        <f t="shared" si="0"/>
        <v>613702</v>
      </c>
      <c r="P14" s="16">
        <f t="shared" si="0"/>
        <v>346272</v>
      </c>
      <c r="Q14" s="16">
        <f t="shared" si="0"/>
        <v>356684</v>
      </c>
      <c r="R14" s="16">
        <f>SUM(R10:R13)</f>
        <v>792982</v>
      </c>
      <c r="S14" s="16">
        <f t="shared" si="0"/>
        <v>1061104</v>
      </c>
      <c r="T14" s="16">
        <f t="shared" si="0"/>
        <v>454395</v>
      </c>
      <c r="U14" s="16">
        <f t="shared" si="0"/>
        <v>1258470</v>
      </c>
      <c r="V14" s="16">
        <f>SUM(V10:V13)</f>
        <v>1508366</v>
      </c>
      <c r="W14" s="16">
        <f t="shared" si="0"/>
        <v>867436</v>
      </c>
      <c r="X14" s="16">
        <f t="shared" si="0"/>
        <v>444848</v>
      </c>
      <c r="Y14" s="16">
        <f t="shared" si="0"/>
        <v>387947</v>
      </c>
      <c r="Z14" s="16">
        <f>SUM(Z10:Z13)</f>
        <v>2238749.42</v>
      </c>
      <c r="AA14" s="16">
        <f>SUM(AA10:AA13)</f>
        <v>157763.98400000003</v>
      </c>
      <c r="AB14" s="16">
        <f>SUM(AB10:AB13)</f>
        <v>534884</v>
      </c>
      <c r="AC14" s="16">
        <f t="shared" si="0"/>
        <v>1509513</v>
      </c>
      <c r="AD14" s="16">
        <f>SUM(AD10:AD13)</f>
        <v>253576.51299999998</v>
      </c>
      <c r="AE14" s="16">
        <f t="shared" si="0"/>
        <v>560821</v>
      </c>
      <c r="AF14" s="16">
        <f t="shared" si="0"/>
        <v>104832.55500000001</v>
      </c>
      <c r="AG14" s="16">
        <f t="shared" si="0"/>
        <v>422806</v>
      </c>
      <c r="AH14" s="16">
        <f t="shared" si="0"/>
        <v>497930</v>
      </c>
      <c r="AI14" s="16">
        <f t="shared" si="0"/>
        <v>-737</v>
      </c>
      <c r="AJ14" s="16">
        <f t="shared" si="0"/>
        <v>0</v>
      </c>
      <c r="AK14" s="16">
        <f t="shared" si="0"/>
        <v>119046</v>
      </c>
      <c r="AL14" s="16">
        <f t="shared" si="0"/>
        <v>96824</v>
      </c>
      <c r="AM14" s="157">
        <f t="shared" si="0"/>
        <v>0</v>
      </c>
      <c r="AN14" s="16">
        <f>SUM(AN10:AN13)</f>
        <v>38450</v>
      </c>
      <c r="AO14" s="16">
        <f t="shared" si="0"/>
        <v>112461</v>
      </c>
      <c r="AP14" s="16">
        <f aca="true" t="shared" si="1" ref="AP14:BC14">SUM(AP10:AP13)</f>
        <v>128676</v>
      </c>
      <c r="AQ14" s="16">
        <f t="shared" si="1"/>
        <v>11674</v>
      </c>
      <c r="AR14" s="16">
        <f t="shared" si="1"/>
        <v>131308</v>
      </c>
      <c r="AS14" s="16">
        <f t="shared" si="1"/>
        <v>18183</v>
      </c>
      <c r="AT14" s="16">
        <f t="shared" si="1"/>
        <v>-247.051</v>
      </c>
      <c r="AU14" s="16">
        <f t="shared" si="1"/>
        <v>-804.539</v>
      </c>
      <c r="AV14" s="16">
        <f t="shared" si="1"/>
        <v>77758</v>
      </c>
      <c r="AW14" s="16">
        <f t="shared" si="1"/>
        <v>84</v>
      </c>
      <c r="AX14" s="16">
        <f t="shared" si="1"/>
        <v>-12</v>
      </c>
      <c r="AY14" s="16">
        <f t="shared" si="1"/>
        <v>33780.948</v>
      </c>
      <c r="AZ14" s="16">
        <f t="shared" si="1"/>
        <v>29601</v>
      </c>
      <c r="BA14" s="16">
        <f t="shared" si="1"/>
        <v>130000</v>
      </c>
      <c r="BB14" s="16">
        <f>SUM(BB10:BB13)</f>
        <v>0</v>
      </c>
      <c r="BC14" s="16">
        <f t="shared" si="1"/>
        <v>27252</v>
      </c>
      <c r="BE14" s="16">
        <f>SUM(B14:BC14)</f>
        <v>62832057.565</v>
      </c>
      <c r="BF14" s="16"/>
      <c r="BG14" s="16">
        <f>+B14+AC14+AH14+AJ14+AO14+AP14+AR14+AS14+AV14+AY14+AZ14+BA14+BC14+V14</f>
        <v>19914940.948</v>
      </c>
      <c r="BH14" s="16">
        <f>+C14+D14+E14+F14+G14+H14+I14+J14+K14+L14+M14+N14+O14+P14+Q14+R14+S14+T14+U14+W14+X14+Y14+Z14+AA14+AB14+AD14+AE14+AF14+AG14+AI14+AK14+AL14+AM14+AN14+AQ14+AT14+AU14+AW14+AX14+BB14</f>
        <v>42917116.617</v>
      </c>
      <c r="BI14" s="157"/>
    </row>
    <row r="15" spans="1:61" ht="11.25" customHeight="1">
      <c r="A15" s="154"/>
      <c r="C15" s="224"/>
      <c r="D15" s="159"/>
      <c r="E15" s="159"/>
      <c r="F15" s="159"/>
      <c r="G15" s="159"/>
      <c r="H15" s="159"/>
      <c r="I15" s="16"/>
      <c r="J15" s="159"/>
      <c r="K15" s="159"/>
      <c r="L15" s="157"/>
      <c r="P15" s="159"/>
      <c r="Q15" s="159"/>
      <c r="R15" s="158"/>
      <c r="S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G15" s="159"/>
      <c r="AH15" s="158"/>
      <c r="AI15" s="159"/>
      <c r="AJ15" s="159"/>
      <c r="AK15" s="159"/>
      <c r="AL15" s="159"/>
      <c r="AM15" s="157"/>
      <c r="AN15" s="159"/>
      <c r="AO15" s="168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E15" s="16"/>
      <c r="BF15" s="16"/>
      <c r="BG15" s="16"/>
      <c r="BH15" s="16"/>
      <c r="BI15" s="157"/>
    </row>
    <row r="16" spans="1:61" ht="11.25" customHeight="1" hidden="1" outlineLevel="1">
      <c r="A16" s="154" t="s">
        <v>270</v>
      </c>
      <c r="C16" s="224"/>
      <c r="D16" s="159"/>
      <c r="E16" s="159"/>
      <c r="F16" s="159"/>
      <c r="G16" s="159"/>
      <c r="H16" s="159"/>
      <c r="I16" s="159"/>
      <c r="J16" s="159"/>
      <c r="K16" s="159"/>
      <c r="L16" s="157"/>
      <c r="P16" s="159"/>
      <c r="Q16" s="159"/>
      <c r="R16" s="158"/>
      <c r="S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G16" s="159"/>
      <c r="AH16" s="158"/>
      <c r="AI16" s="159"/>
      <c r="AJ16" s="159"/>
      <c r="AK16" s="159"/>
      <c r="AL16" s="159"/>
      <c r="AM16" s="157">
        <v>0</v>
      </c>
      <c r="AN16" s="159"/>
      <c r="AO16" s="168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E16" s="16"/>
      <c r="BF16" s="16"/>
      <c r="BG16" s="16"/>
      <c r="BH16" s="16"/>
      <c r="BI16" s="157"/>
    </row>
    <row r="17" spans="1:61" ht="11.25" customHeight="1" hidden="1" outlineLevel="1">
      <c r="A17" s="155" t="s">
        <v>271</v>
      </c>
      <c r="B17" s="157">
        <v>10937239</v>
      </c>
      <c r="C17" s="225">
        <v>208445</v>
      </c>
      <c r="D17" s="156">
        <v>2625388</v>
      </c>
      <c r="E17" s="156">
        <v>2284585.5</v>
      </c>
      <c r="F17" s="156">
        <v>1403286</v>
      </c>
      <c r="G17" s="156">
        <v>1700685</v>
      </c>
      <c r="H17" s="156">
        <v>2501</v>
      </c>
      <c r="I17" s="156">
        <v>1137655</v>
      </c>
      <c r="J17" s="156">
        <v>20307</v>
      </c>
      <c r="K17" s="156">
        <v>357626</v>
      </c>
      <c r="L17" s="157">
        <v>39385</v>
      </c>
      <c r="M17" s="157">
        <v>304400</v>
      </c>
      <c r="N17" s="157">
        <v>709745</v>
      </c>
      <c r="O17" s="157">
        <v>24907</v>
      </c>
      <c r="P17" s="156">
        <v>866920</v>
      </c>
      <c r="Q17" s="156">
        <v>9207</v>
      </c>
      <c r="R17" s="156">
        <v>383300</v>
      </c>
      <c r="S17" s="156">
        <v>449774</v>
      </c>
      <c r="T17" s="157">
        <v>405756</v>
      </c>
      <c r="U17" s="156">
        <v>178129</v>
      </c>
      <c r="V17" s="156">
        <v>743689</v>
      </c>
      <c r="W17" s="156">
        <v>556905</v>
      </c>
      <c r="X17" s="156">
        <v>345319</v>
      </c>
      <c r="Y17" s="156">
        <v>671733</v>
      </c>
      <c r="Z17" s="156">
        <v>80894.648</v>
      </c>
      <c r="AA17" s="156">
        <v>3056.95</v>
      </c>
      <c r="AB17" s="156">
        <v>329359</v>
      </c>
      <c r="AC17" s="156">
        <v>1355574</v>
      </c>
      <c r="AD17" s="156">
        <v>948.925</v>
      </c>
      <c r="AE17" s="79">
        <v>317399</v>
      </c>
      <c r="AF17" s="157">
        <v>289943.646</v>
      </c>
      <c r="AG17" s="156">
        <v>207042</v>
      </c>
      <c r="AH17" s="156">
        <v>111190</v>
      </c>
      <c r="AI17" s="156">
        <v>121540</v>
      </c>
      <c r="AJ17" s="156">
        <v>29368</v>
      </c>
      <c r="AK17" s="156">
        <v>70974</v>
      </c>
      <c r="AL17" s="156">
        <v>58739</v>
      </c>
      <c r="AM17" s="157">
        <v>103385</v>
      </c>
      <c r="AN17" s="156">
        <v>1229</v>
      </c>
      <c r="AO17" s="157">
        <v>118439</v>
      </c>
      <c r="AP17" s="157">
        <f>62729+59770</f>
        <v>122499</v>
      </c>
      <c r="AQ17" s="156">
        <v>75638</v>
      </c>
      <c r="AR17" s="156">
        <v>180957</v>
      </c>
      <c r="AS17" s="156">
        <v>111446</v>
      </c>
      <c r="AT17" s="156">
        <v>39931.464</v>
      </c>
      <c r="AU17" s="156">
        <v>38883.086</v>
      </c>
      <c r="AV17" s="79">
        <v>78417</v>
      </c>
      <c r="AW17" s="156">
        <v>37903</v>
      </c>
      <c r="AX17" s="156">
        <v>38926</v>
      </c>
      <c r="AY17" s="156">
        <f>40044483/1000</f>
        <v>40044.483</v>
      </c>
      <c r="AZ17" s="156">
        <v>35020</v>
      </c>
      <c r="BA17" s="156">
        <v>143765</v>
      </c>
      <c r="BB17" s="157">
        <v>797</v>
      </c>
      <c r="BC17" s="157">
        <v>56222</v>
      </c>
      <c r="BE17" s="16">
        <f>SUM(B17:BC17)</f>
        <v>30566417.702</v>
      </c>
      <c r="BF17" s="16"/>
      <c r="BG17" s="16">
        <f>+B17+AC17+AH17+AJ17+AO17+AP17+AR17+AS17+AV17+AY17+AZ17+BA17+BC17+V17</f>
        <v>14063869.483</v>
      </c>
      <c r="BH17" s="16">
        <f>+C17+D17+E17+F17+G17+H17+I17+J17+K17+L17+M17+N17+O17+P17+Q17+R17+S17+T17+U17+W17+X17+Y17+Z17+AA17+AB17+AD17+AE17+AF17+AG17+AI17+AK17+AL17+AM17+AN17+AQ17+AT17+AU17+AW17+AX17+BB17</f>
        <v>16502548.218999999</v>
      </c>
      <c r="BI17" s="157"/>
    </row>
    <row r="18" spans="1:61" ht="11.25" customHeight="1" hidden="1" outlineLevel="1">
      <c r="A18" s="155" t="s">
        <v>272</v>
      </c>
      <c r="B18" s="147">
        <v>0</v>
      </c>
      <c r="C18" s="147">
        <v>0</v>
      </c>
      <c r="D18" s="156">
        <v>-2262</v>
      </c>
      <c r="E18" s="156">
        <v>-34385.4</v>
      </c>
      <c r="F18" s="156">
        <v>-599</v>
      </c>
      <c r="G18" s="156">
        <v>-11573</v>
      </c>
      <c r="H18" s="156">
        <v>0</v>
      </c>
      <c r="I18" s="156">
        <v>-13825</v>
      </c>
      <c r="J18" s="156">
        <v>0</v>
      </c>
      <c r="K18" s="156">
        <v>0</v>
      </c>
      <c r="L18" s="157">
        <v>0</v>
      </c>
      <c r="M18" s="157">
        <v>-376</v>
      </c>
      <c r="N18" s="147">
        <v>0</v>
      </c>
      <c r="O18" s="147">
        <v>0</v>
      </c>
      <c r="P18" s="156">
        <v>-5468</v>
      </c>
      <c r="Q18" s="156">
        <v>0</v>
      </c>
      <c r="R18" s="156">
        <v>0</v>
      </c>
      <c r="S18" s="156">
        <v>-3838</v>
      </c>
      <c r="T18" s="157">
        <v>-4777.657</v>
      </c>
      <c r="U18" s="156">
        <v>0</v>
      </c>
      <c r="V18" s="156">
        <v>0</v>
      </c>
      <c r="W18" s="156">
        <v>-6304</v>
      </c>
      <c r="X18" s="156">
        <v>-2200</v>
      </c>
      <c r="Y18" s="156">
        <v>-57464</v>
      </c>
      <c r="Z18" s="156">
        <v>0</v>
      </c>
      <c r="AA18" s="156">
        <v>0</v>
      </c>
      <c r="AB18" s="156">
        <v>-5373</v>
      </c>
      <c r="AC18" s="156">
        <v>0</v>
      </c>
      <c r="AD18" s="156">
        <v>0</v>
      </c>
      <c r="AE18" s="79"/>
      <c r="AF18" s="157">
        <v>0</v>
      </c>
      <c r="AG18" s="156">
        <v>-1981</v>
      </c>
      <c r="AH18" s="156">
        <v>0</v>
      </c>
      <c r="AI18" s="156">
        <v>0</v>
      </c>
      <c r="AJ18" s="156">
        <v>0</v>
      </c>
      <c r="AK18" s="156">
        <v>-189</v>
      </c>
      <c r="AL18" s="156">
        <v>-765</v>
      </c>
      <c r="AM18" s="157">
        <v>0</v>
      </c>
      <c r="AN18" s="156">
        <v>0</v>
      </c>
      <c r="AO18" s="157">
        <v>0</v>
      </c>
      <c r="AP18" s="157">
        <v>0</v>
      </c>
      <c r="AQ18" s="156">
        <v>-268</v>
      </c>
      <c r="AR18" s="156">
        <v>0</v>
      </c>
      <c r="AS18" s="156">
        <v>-41358</v>
      </c>
      <c r="AT18" s="156">
        <v>0</v>
      </c>
      <c r="AU18" s="156">
        <v>-470.186</v>
      </c>
      <c r="AV18" s="147">
        <v>0</v>
      </c>
      <c r="AW18" s="156">
        <v>-975</v>
      </c>
      <c r="AX18" s="156">
        <v>0</v>
      </c>
      <c r="AY18" s="156">
        <v>0</v>
      </c>
      <c r="AZ18" s="156">
        <v>0</v>
      </c>
      <c r="BA18" s="156">
        <v>0</v>
      </c>
      <c r="BB18" s="156">
        <v>0</v>
      </c>
      <c r="BC18" s="156">
        <v>0</v>
      </c>
      <c r="BE18" s="16">
        <f>SUM(B18:BC18)</f>
        <v>-194451.243</v>
      </c>
      <c r="BF18" s="16"/>
      <c r="BG18" s="16">
        <f>+B18+AC18+AH18+AJ18+AO18+AP18+AR18+AS18+AV18+AY18+AZ18+BA18+BC18+V18</f>
        <v>-41358</v>
      </c>
      <c r="BH18" s="16">
        <f>+C18+D18+E18+F18+G18+H18+I18+J18+K18+L18+M18+N18+O18+P18+Q18+R18+S18+T18+U18+W18+X18+Y18+Z18+AA18+AB18+AD18+AE18+AF18+AG18+AI18+AK18+AL18+AM18+AN18+AQ18+AT18+AU18+AW18+AX18+BB18</f>
        <v>-153093.243</v>
      </c>
      <c r="BI18" s="157"/>
    </row>
    <row r="19" spans="1:61" ht="11.25" customHeight="1" hidden="1" outlineLevel="1">
      <c r="A19" s="155" t="s">
        <v>273</v>
      </c>
      <c r="B19" s="147">
        <v>1090</v>
      </c>
      <c r="C19" s="224">
        <v>346</v>
      </c>
      <c r="D19" s="156">
        <v>1917</v>
      </c>
      <c r="E19" s="156">
        <v>12631.78</v>
      </c>
      <c r="F19" s="156">
        <v>2475</v>
      </c>
      <c r="G19" s="156">
        <v>1601</v>
      </c>
      <c r="H19" s="156">
        <v>0</v>
      </c>
      <c r="I19" s="156">
        <v>4113</v>
      </c>
      <c r="J19" s="156">
        <v>0</v>
      </c>
      <c r="K19" s="156">
        <v>122</v>
      </c>
      <c r="L19" s="157">
        <v>0</v>
      </c>
      <c r="M19" s="157">
        <v>1175</v>
      </c>
      <c r="N19" s="147">
        <v>0</v>
      </c>
      <c r="O19" s="147">
        <v>0</v>
      </c>
      <c r="P19" s="156">
        <v>441</v>
      </c>
      <c r="Q19" s="156">
        <v>0</v>
      </c>
      <c r="R19" s="156">
        <v>0</v>
      </c>
      <c r="S19" s="156">
        <v>0</v>
      </c>
      <c r="T19" s="157">
        <v>3530.199</v>
      </c>
      <c r="U19" s="156">
        <v>93</v>
      </c>
      <c r="V19" s="156">
        <v>19</v>
      </c>
      <c r="W19" s="156">
        <v>1145</v>
      </c>
      <c r="X19" s="156">
        <v>29</v>
      </c>
      <c r="Y19" s="156">
        <v>455</v>
      </c>
      <c r="Z19" s="156">
        <v>72.271</v>
      </c>
      <c r="AA19" s="156">
        <v>5.48</v>
      </c>
      <c r="AB19" s="156">
        <v>820</v>
      </c>
      <c r="AC19" s="156">
        <v>0</v>
      </c>
      <c r="AD19" s="156">
        <v>0</v>
      </c>
      <c r="AE19" s="79">
        <v>416</v>
      </c>
      <c r="AF19" s="157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79</v>
      </c>
      <c r="AL19" s="156">
        <v>0</v>
      </c>
      <c r="AM19" s="157">
        <v>0</v>
      </c>
      <c r="AN19" s="156">
        <v>393</v>
      </c>
      <c r="AO19" s="157">
        <v>0</v>
      </c>
      <c r="AP19" s="157">
        <v>65</v>
      </c>
      <c r="AQ19" s="156">
        <v>0</v>
      </c>
      <c r="AR19" s="156"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E19" s="16">
        <f>SUM(B19:BC19)</f>
        <v>33033.729999999996</v>
      </c>
      <c r="BF19" s="16"/>
      <c r="BG19" s="16">
        <f>+B19+AC19+AH19+AJ19+AO19+AP19+AR19+AS19+AV19+AY19+AZ19+BA19+BC19+V19</f>
        <v>1174</v>
      </c>
      <c r="BH19" s="16">
        <f>+C19+D19+E19+F19+G19+H19+I19+J19+K19+L19+M19+N19+O19+P19+Q19+R19+S19+T19+U19+W19+X19+Y19+Z19+AA19+AB19+AD19+AE19+AF19+AG19+AI19+AK19+AL19+AM19+AN19+AQ19+AT19+AU19+AW19+AX19+BB19</f>
        <v>31859.73</v>
      </c>
      <c r="BI19" s="157"/>
    </row>
    <row r="20" spans="1:61" ht="11.25" customHeight="1" hidden="1" outlineLevel="1">
      <c r="A20" s="155" t="s">
        <v>274</v>
      </c>
      <c r="B20" s="147">
        <v>0</v>
      </c>
      <c r="C20" s="147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56">
        <v>0</v>
      </c>
      <c r="S20" s="147">
        <v>0</v>
      </c>
      <c r="T20" s="156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1511.807</v>
      </c>
      <c r="AE20" s="79"/>
      <c r="AF20" s="157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7">
        <v>0</v>
      </c>
      <c r="AN20" s="156">
        <v>-604</v>
      </c>
      <c r="AO20" s="157">
        <v>0</v>
      </c>
      <c r="AP20" s="157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E20" s="16">
        <f>SUM(B20:BC20)</f>
        <v>907.807</v>
      </c>
      <c r="BF20" s="16"/>
      <c r="BG20" s="16">
        <f>+B20+AC20+AH20+AJ20+AO20+AP20+AR20+AS20+AV20+AY20+AZ20+BA20+BC20+V20</f>
        <v>0</v>
      </c>
      <c r="BH20" s="16">
        <f>+C20+D20+E20+F20+G20+H20+I20+J20+K20+L20+M20+N20+O20+P20+Q20+R20+S20+T20+U20+W20+X20+Y20+Z20+AA20+AB20+AD20+AE20+AF20+AG20+AI20+AK20+AL20+AM20+AN20+AQ20+AT20+AU20+AW20+AX20+BB20</f>
        <v>907.807</v>
      </c>
      <c r="BI20" s="157"/>
    </row>
    <row r="21" spans="1:61" ht="11.25" customHeight="1" collapsed="1">
      <c r="A21" s="154" t="s">
        <v>400</v>
      </c>
      <c r="B21" s="157">
        <f aca="true" t="shared" si="2" ref="B21:AO21">SUM(B17:B20)</f>
        <v>10938329</v>
      </c>
      <c r="C21" s="157">
        <f t="shared" si="2"/>
        <v>208791</v>
      </c>
      <c r="D21" s="157">
        <f t="shared" si="2"/>
        <v>2625043</v>
      </c>
      <c r="E21" s="157">
        <f t="shared" si="2"/>
        <v>2262831.88</v>
      </c>
      <c r="F21" s="157">
        <f t="shared" si="2"/>
        <v>1405162</v>
      </c>
      <c r="G21" s="157">
        <f t="shared" si="2"/>
        <v>1690713</v>
      </c>
      <c r="H21" s="157">
        <f t="shared" si="2"/>
        <v>2501</v>
      </c>
      <c r="I21" s="157">
        <f t="shared" si="2"/>
        <v>1127943</v>
      </c>
      <c r="J21" s="157">
        <f>SUM(J17:J20)</f>
        <v>20307</v>
      </c>
      <c r="K21" s="157">
        <f t="shared" si="2"/>
        <v>357748</v>
      </c>
      <c r="L21" s="157">
        <f t="shared" si="2"/>
        <v>39385</v>
      </c>
      <c r="M21" s="157">
        <f t="shared" si="2"/>
        <v>305199</v>
      </c>
      <c r="N21" s="157">
        <f t="shared" si="2"/>
        <v>709745</v>
      </c>
      <c r="O21" s="157">
        <f t="shared" si="2"/>
        <v>24907</v>
      </c>
      <c r="P21" s="157">
        <f t="shared" si="2"/>
        <v>861893</v>
      </c>
      <c r="Q21" s="157">
        <f t="shared" si="2"/>
        <v>9207</v>
      </c>
      <c r="R21" s="157">
        <f>SUM(R17:R20)</f>
        <v>383300</v>
      </c>
      <c r="S21" s="157">
        <f t="shared" si="2"/>
        <v>445936</v>
      </c>
      <c r="T21" s="157">
        <f t="shared" si="2"/>
        <v>404508.542</v>
      </c>
      <c r="U21" s="157">
        <f t="shared" si="2"/>
        <v>178222</v>
      </c>
      <c r="V21" s="157">
        <f>SUM(V17:V20)</f>
        <v>743708</v>
      </c>
      <c r="W21" s="157">
        <f t="shared" si="2"/>
        <v>551746</v>
      </c>
      <c r="X21" s="157">
        <f t="shared" si="2"/>
        <v>343148</v>
      </c>
      <c r="Y21" s="157">
        <f t="shared" si="2"/>
        <v>614724</v>
      </c>
      <c r="Z21" s="157">
        <f>SUM(Z17:Z20)</f>
        <v>80966.919</v>
      </c>
      <c r="AA21" s="157">
        <f>SUM(AA17:AA20)</f>
        <v>3062.43</v>
      </c>
      <c r="AB21" s="157">
        <f>SUM(AB17:AB20)</f>
        <v>324806</v>
      </c>
      <c r="AC21" s="157">
        <f t="shared" si="2"/>
        <v>1355574</v>
      </c>
      <c r="AD21" s="157">
        <f>SUM(AD17:AD20)</f>
        <v>2460.732</v>
      </c>
      <c r="AE21" s="157">
        <f t="shared" si="2"/>
        <v>317815</v>
      </c>
      <c r="AF21" s="157">
        <f t="shared" si="2"/>
        <v>289943.646</v>
      </c>
      <c r="AG21" s="157">
        <f t="shared" si="2"/>
        <v>205061</v>
      </c>
      <c r="AH21" s="157">
        <f t="shared" si="2"/>
        <v>111190</v>
      </c>
      <c r="AI21" s="157">
        <f t="shared" si="2"/>
        <v>121540</v>
      </c>
      <c r="AJ21" s="157">
        <f t="shared" si="2"/>
        <v>29368</v>
      </c>
      <c r="AK21" s="157">
        <f t="shared" si="2"/>
        <v>70864</v>
      </c>
      <c r="AL21" s="157">
        <f t="shared" si="2"/>
        <v>57974</v>
      </c>
      <c r="AM21" s="157">
        <f t="shared" si="2"/>
        <v>103385</v>
      </c>
      <c r="AN21" s="157">
        <f>SUM(AN17:AN20)</f>
        <v>1018</v>
      </c>
      <c r="AO21" s="157">
        <f t="shared" si="2"/>
        <v>118439</v>
      </c>
      <c r="AP21" s="157">
        <f aca="true" t="shared" si="3" ref="AP21:BC21">SUM(AP17:AP20)</f>
        <v>122564</v>
      </c>
      <c r="AQ21" s="157">
        <f t="shared" si="3"/>
        <v>75370</v>
      </c>
      <c r="AR21" s="157">
        <f t="shared" si="3"/>
        <v>180957</v>
      </c>
      <c r="AS21" s="156">
        <f t="shared" si="3"/>
        <v>70088</v>
      </c>
      <c r="AT21" s="157">
        <f t="shared" si="3"/>
        <v>39931.464</v>
      </c>
      <c r="AU21" s="157">
        <f t="shared" si="3"/>
        <v>38412.9</v>
      </c>
      <c r="AV21" s="157">
        <f t="shared" si="3"/>
        <v>78417</v>
      </c>
      <c r="AW21" s="157">
        <f t="shared" si="3"/>
        <v>36928</v>
      </c>
      <c r="AX21" s="157">
        <f t="shared" si="3"/>
        <v>38926</v>
      </c>
      <c r="AY21" s="157">
        <f t="shared" si="3"/>
        <v>40044.483</v>
      </c>
      <c r="AZ21" s="157">
        <f t="shared" si="3"/>
        <v>35020</v>
      </c>
      <c r="BA21" s="157">
        <f t="shared" si="3"/>
        <v>143765</v>
      </c>
      <c r="BB21" s="157">
        <f>SUM(BB17:BB20)</f>
        <v>797</v>
      </c>
      <c r="BC21" s="157">
        <f t="shared" si="3"/>
        <v>56222</v>
      </c>
      <c r="BE21" s="16">
        <f>SUM(B21:BC21)</f>
        <v>30405907.996</v>
      </c>
      <c r="BF21" s="16"/>
      <c r="BG21" s="16">
        <f>+B21+AC21+AH21+AJ21+AO21+AP21+AR21+AS21+AV21+AY21+AZ21+BA21+BC21+V21</f>
        <v>14023685.483</v>
      </c>
      <c r="BH21" s="16">
        <f>+C21+D21+E21+F21+G21+H21+I21+J21+K21+L21+M21+N21+O21+P21+Q21+R21+S21+T21+U21+W21+X21+Y21+Z21+AA21+AB21+AD21+AE21+AF21+AG21+AI21+AK21+AL21+AM21+AN21+AQ21+AT21+AU21+AW21+AX21+BB21</f>
        <v>16382222.512999998</v>
      </c>
      <c r="BI21" s="157"/>
    </row>
    <row r="22" spans="1:61" ht="11.25" customHeight="1">
      <c r="A22" s="154"/>
      <c r="C22" s="224"/>
      <c r="D22" s="159"/>
      <c r="E22" s="159"/>
      <c r="F22" s="159"/>
      <c r="G22" s="159"/>
      <c r="H22" s="159"/>
      <c r="I22" s="16"/>
      <c r="J22" s="159"/>
      <c r="K22" s="159"/>
      <c r="L22" s="157"/>
      <c r="P22" s="159"/>
      <c r="Q22" s="159"/>
      <c r="R22" s="158"/>
      <c r="S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G22" s="159"/>
      <c r="AH22" s="158"/>
      <c r="AI22" s="159"/>
      <c r="AJ22" s="159"/>
      <c r="AK22" s="159"/>
      <c r="AL22" s="159"/>
      <c r="AM22" s="168"/>
      <c r="AN22" s="159"/>
      <c r="AO22" s="168"/>
      <c r="AQ22" s="159"/>
      <c r="AR22" s="159"/>
      <c r="AS22" s="156"/>
      <c r="AT22" s="159"/>
      <c r="AU22" s="159"/>
      <c r="AV22" s="159"/>
      <c r="AW22" s="159"/>
      <c r="AX22" s="159"/>
      <c r="AY22" s="159"/>
      <c r="AZ22" s="159"/>
      <c r="BA22" s="159"/>
      <c r="BE22" s="16"/>
      <c r="BF22" s="16"/>
      <c r="BG22" s="16"/>
      <c r="BH22" s="16"/>
      <c r="BI22" s="157"/>
    </row>
    <row r="23" spans="1:61" ht="11.25" customHeight="1" hidden="1" outlineLevel="1">
      <c r="A23" s="154" t="s">
        <v>276</v>
      </c>
      <c r="C23" s="224"/>
      <c r="D23" s="159"/>
      <c r="E23" s="159"/>
      <c r="F23" s="159"/>
      <c r="G23" s="159"/>
      <c r="H23" s="159"/>
      <c r="I23" s="159"/>
      <c r="J23" s="159"/>
      <c r="K23" s="159"/>
      <c r="L23" s="157"/>
      <c r="P23" s="159"/>
      <c r="Q23" s="159"/>
      <c r="R23" s="158"/>
      <c r="S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G23" s="159"/>
      <c r="AH23" s="158"/>
      <c r="AI23" s="159"/>
      <c r="AJ23" s="159"/>
      <c r="AK23" s="159"/>
      <c r="AL23" s="159"/>
      <c r="AM23" s="168" t="s">
        <v>57</v>
      </c>
      <c r="AN23" s="159"/>
      <c r="AO23" s="168"/>
      <c r="AQ23" s="159"/>
      <c r="AR23" s="159"/>
      <c r="AS23" s="156"/>
      <c r="AT23" s="159">
        <v>0</v>
      </c>
      <c r="AU23" s="159"/>
      <c r="AV23" s="159"/>
      <c r="AW23" s="159"/>
      <c r="AX23" s="159"/>
      <c r="AY23" s="159"/>
      <c r="AZ23" s="159"/>
      <c r="BA23" s="159"/>
      <c r="BE23" s="16"/>
      <c r="BF23" s="16"/>
      <c r="BG23" s="16"/>
      <c r="BH23" s="16"/>
      <c r="BI23" s="157"/>
    </row>
    <row r="24" spans="1:60" ht="11.25" customHeight="1" hidden="1" outlineLevel="1">
      <c r="A24" s="155" t="s">
        <v>277</v>
      </c>
      <c r="B24" s="147">
        <v>0</v>
      </c>
      <c r="C24" s="147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7">
        <v>0</v>
      </c>
      <c r="K24" s="156">
        <v>0</v>
      </c>
      <c r="L24" s="15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56">
        <v>0</v>
      </c>
      <c r="S24" s="147">
        <v>0</v>
      </c>
      <c r="T24" s="156">
        <v>0</v>
      </c>
      <c r="U24" s="156">
        <v>0</v>
      </c>
      <c r="V24" s="156">
        <v>794602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/>
      <c r="AF24" s="157">
        <v>0</v>
      </c>
      <c r="AG24" s="156">
        <v>0</v>
      </c>
      <c r="AH24" s="156">
        <v>0</v>
      </c>
      <c r="AI24" s="156">
        <v>0</v>
      </c>
      <c r="AJ24" s="156">
        <v>0</v>
      </c>
      <c r="AK24" s="156">
        <v>0</v>
      </c>
      <c r="AL24" s="156">
        <v>0</v>
      </c>
      <c r="AM24" s="157">
        <v>0</v>
      </c>
      <c r="AN24" s="156">
        <v>0</v>
      </c>
      <c r="AO24" s="156">
        <v>0</v>
      </c>
      <c r="AP24" s="156">
        <v>0</v>
      </c>
      <c r="AQ24" s="156">
        <v>0</v>
      </c>
      <c r="AR24" s="156">
        <v>0</v>
      </c>
      <c r="AS24" s="156">
        <v>0</v>
      </c>
      <c r="AT24" s="156">
        <v>0</v>
      </c>
      <c r="AU24" s="156">
        <v>0</v>
      </c>
      <c r="AV24" s="156">
        <v>0</v>
      </c>
      <c r="AW24" s="156">
        <v>0</v>
      </c>
      <c r="AX24" s="156">
        <v>0</v>
      </c>
      <c r="AY24" s="156">
        <v>0</v>
      </c>
      <c r="AZ24" s="156">
        <v>0</v>
      </c>
      <c r="BA24" s="156">
        <v>0</v>
      </c>
      <c r="BB24" s="156">
        <v>0</v>
      </c>
      <c r="BC24" s="156">
        <v>0</v>
      </c>
      <c r="BE24" s="16">
        <f aca="true" t="shared" si="4" ref="BE24:BE33">SUM(B24:BC24)</f>
        <v>794602</v>
      </c>
      <c r="BF24" s="16"/>
      <c r="BG24" s="16">
        <f aca="true" t="shared" si="5" ref="BG24:BG33">+B24+AC24+AH24+AJ24+AO24+AP24+AR24+AS24+AV24+AY24+AZ24+BA24+BC24+V24</f>
        <v>794602</v>
      </c>
      <c r="BH24" s="16">
        <f>+C24+D24+E24+F24+G24+H24+I24+J24+K24+L24+M24+N24+O24+P24+Q24+R24+S24+T24+U24+W24+X24+Y24+Z24+AA24+AB24+AD24+AE24+AF24+AG24+AI24+AK24+AL24+AM24+AN24+AQ24+AT24+AU24+AW24+AX24+BB24</f>
        <v>0</v>
      </c>
    </row>
    <row r="25" spans="1:60" ht="11.25" customHeight="1" hidden="1" outlineLevel="1">
      <c r="A25" s="155" t="s">
        <v>278</v>
      </c>
      <c r="B25" s="147">
        <v>0</v>
      </c>
      <c r="C25" s="147">
        <v>0</v>
      </c>
      <c r="D25" s="156">
        <v>0</v>
      </c>
      <c r="E25" s="156">
        <v>1617.727</v>
      </c>
      <c r="F25" s="156">
        <v>0</v>
      </c>
      <c r="G25" s="156">
        <v>0</v>
      </c>
      <c r="H25" s="156">
        <v>0</v>
      </c>
      <c r="I25" s="156">
        <v>0</v>
      </c>
      <c r="J25" s="157">
        <v>0</v>
      </c>
      <c r="K25" s="156">
        <v>0</v>
      </c>
      <c r="L25" s="15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56">
        <v>0</v>
      </c>
      <c r="S25" s="147">
        <v>373</v>
      </c>
      <c r="T25" s="156">
        <v>0</v>
      </c>
      <c r="U25" s="156">
        <v>0</v>
      </c>
      <c r="V25" s="156">
        <v>1094341</v>
      </c>
      <c r="W25" s="156">
        <v>0</v>
      </c>
      <c r="X25" s="156">
        <v>1618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/>
      <c r="AF25" s="157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  <c r="AL25" s="156">
        <v>0</v>
      </c>
      <c r="AM25" s="157">
        <v>0</v>
      </c>
      <c r="AN25" s="156">
        <v>0</v>
      </c>
      <c r="AO25" s="156">
        <v>0</v>
      </c>
      <c r="AP25" s="156">
        <v>0</v>
      </c>
      <c r="AQ25" s="156">
        <v>0</v>
      </c>
      <c r="AR25" s="156">
        <v>0</v>
      </c>
      <c r="AS25" s="156">
        <v>0</v>
      </c>
      <c r="AT25" s="156">
        <v>0</v>
      </c>
      <c r="AU25" s="156">
        <v>0</v>
      </c>
      <c r="AV25" s="156">
        <v>0</v>
      </c>
      <c r="AW25" s="156">
        <v>0</v>
      </c>
      <c r="AX25" s="156">
        <v>0</v>
      </c>
      <c r="AY25" s="156">
        <v>0</v>
      </c>
      <c r="AZ25" s="156">
        <v>0</v>
      </c>
      <c r="BA25" s="156">
        <v>0</v>
      </c>
      <c r="BB25" s="156">
        <v>0</v>
      </c>
      <c r="BC25" s="156">
        <v>0</v>
      </c>
      <c r="BE25" s="16">
        <f t="shared" si="4"/>
        <v>1097949.727</v>
      </c>
      <c r="BF25" s="16"/>
      <c r="BG25" s="16">
        <f t="shared" si="5"/>
        <v>1094341</v>
      </c>
      <c r="BH25" s="16">
        <f aca="true" t="shared" si="6" ref="BH25:BH33">+C25+D25+E25+F25+G25+H25+I25+J25+K25+L25+M25+N25+O25+P25+Q25+R25+S25+T25+U25+W25+X25+Y25+Z25+AA25+AB25+AD25+AE25+AF25+AG25+AI25+AK25+AL25+AM25+AN25+AQ25+AT25+AU25+AW25+AX25+BB25</f>
        <v>3608.727</v>
      </c>
    </row>
    <row r="26" spans="1:60" ht="11.25" customHeight="1" hidden="1" outlineLevel="1">
      <c r="A26" s="155" t="s">
        <v>279</v>
      </c>
      <c r="B26" s="157">
        <v>6209214</v>
      </c>
      <c r="C26" s="226">
        <v>2357221</v>
      </c>
      <c r="D26" s="156">
        <v>10988452</v>
      </c>
      <c r="E26" s="156">
        <v>6653081.33</v>
      </c>
      <c r="F26" s="156">
        <v>6379917</v>
      </c>
      <c r="G26" s="156">
        <v>652362</v>
      </c>
      <c r="H26" s="156">
        <v>0</v>
      </c>
      <c r="I26" s="156">
        <v>3293145</v>
      </c>
      <c r="J26" s="156">
        <v>132858</v>
      </c>
      <c r="K26" s="156">
        <v>1559286</v>
      </c>
      <c r="L26" s="157">
        <v>64824</v>
      </c>
      <c r="M26" s="157">
        <v>978448</v>
      </c>
      <c r="N26" s="157">
        <v>3811</v>
      </c>
      <c r="O26" s="157">
        <v>1235</v>
      </c>
      <c r="P26" s="156">
        <v>2586995</v>
      </c>
      <c r="Q26" s="147">
        <v>0</v>
      </c>
      <c r="R26" s="156">
        <v>858353.4</v>
      </c>
      <c r="S26" s="156">
        <v>581457</v>
      </c>
      <c r="T26" s="157">
        <v>1445466</v>
      </c>
      <c r="U26" s="156">
        <v>658428</v>
      </c>
      <c r="V26" s="156">
        <v>0</v>
      </c>
      <c r="W26" s="156">
        <v>250088</v>
      </c>
      <c r="X26" s="156">
        <v>1136510</v>
      </c>
      <c r="Y26" s="156">
        <v>32624</v>
      </c>
      <c r="Z26" s="156">
        <v>90152.055</v>
      </c>
      <c r="AA26" s="156">
        <v>6835.455</v>
      </c>
      <c r="AB26" s="156">
        <v>510924</v>
      </c>
      <c r="AC26" s="156">
        <v>1091.216</v>
      </c>
      <c r="AD26" s="156">
        <v>721.75</v>
      </c>
      <c r="AE26" s="79">
        <v>62990</v>
      </c>
      <c r="AF26" s="157">
        <v>1096417.55</v>
      </c>
      <c r="AG26" s="156">
        <v>17273</v>
      </c>
      <c r="AH26" s="156">
        <v>0</v>
      </c>
      <c r="AI26" s="156">
        <v>240860</v>
      </c>
      <c r="AJ26" s="156">
        <v>0</v>
      </c>
      <c r="AK26" s="156">
        <v>15996</v>
      </c>
      <c r="AL26" s="156">
        <v>-3765</v>
      </c>
      <c r="AM26" s="157">
        <v>3254</v>
      </c>
      <c r="AN26" s="156">
        <v>22</v>
      </c>
      <c r="AO26" s="157">
        <v>45804</v>
      </c>
      <c r="AP26" s="157">
        <v>27463</v>
      </c>
      <c r="AQ26" s="156">
        <v>226</v>
      </c>
      <c r="AR26" s="156">
        <v>0</v>
      </c>
      <c r="AS26" s="156">
        <v>0</v>
      </c>
      <c r="AT26" s="156">
        <v>36</v>
      </c>
      <c r="AU26" s="156">
        <v>-3471.971</v>
      </c>
      <c r="AV26" s="156">
        <v>4017</v>
      </c>
      <c r="AW26" s="156">
        <v>11</v>
      </c>
      <c r="AX26" s="156">
        <v>0</v>
      </c>
      <c r="AY26" s="156">
        <v>0</v>
      </c>
      <c r="AZ26" s="156">
        <v>1192</v>
      </c>
      <c r="BA26" s="156">
        <v>0</v>
      </c>
      <c r="BB26" s="156">
        <v>0</v>
      </c>
      <c r="BC26" s="156">
        <v>0</v>
      </c>
      <c r="BE26" s="16">
        <f t="shared" si="4"/>
        <v>48941824.78499999</v>
      </c>
      <c r="BF26" s="16"/>
      <c r="BG26" s="16">
        <f t="shared" si="5"/>
        <v>6288781.216</v>
      </c>
      <c r="BH26" s="16">
        <f t="shared" si="6"/>
        <v>42653043.56899999</v>
      </c>
    </row>
    <row r="27" spans="1:60" ht="11.25" customHeight="1" hidden="1" outlineLevel="1">
      <c r="A27" s="155" t="s">
        <v>280</v>
      </c>
      <c r="B27" s="157">
        <v>0</v>
      </c>
      <c r="C27" s="157">
        <v>0</v>
      </c>
      <c r="D27" s="156">
        <v>1703</v>
      </c>
      <c r="E27" s="156">
        <v>0</v>
      </c>
      <c r="F27" s="156">
        <v>4116</v>
      </c>
      <c r="G27" s="156">
        <v>4647</v>
      </c>
      <c r="H27" s="156">
        <v>0</v>
      </c>
      <c r="I27" s="156">
        <v>199</v>
      </c>
      <c r="J27" s="157">
        <v>0</v>
      </c>
      <c r="K27" s="156">
        <v>0</v>
      </c>
      <c r="L27" s="157">
        <v>0</v>
      </c>
      <c r="M27" s="157">
        <v>0</v>
      </c>
      <c r="N27" s="157">
        <v>0</v>
      </c>
      <c r="O27" s="157">
        <v>0</v>
      </c>
      <c r="P27" s="156">
        <v>-1956</v>
      </c>
      <c r="Q27" s="147">
        <v>0</v>
      </c>
      <c r="R27" s="156">
        <v>0</v>
      </c>
      <c r="S27" s="156"/>
      <c r="T27" s="157">
        <v>3096.539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6">
        <v>0</v>
      </c>
      <c r="AA27" s="156">
        <v>0</v>
      </c>
      <c r="AB27" s="156">
        <v>288</v>
      </c>
      <c r="AC27" s="156">
        <v>0</v>
      </c>
      <c r="AD27" s="156">
        <v>0</v>
      </c>
      <c r="AE27" s="79"/>
      <c r="AF27" s="157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2826</v>
      </c>
      <c r="AL27" s="156">
        <v>0</v>
      </c>
      <c r="AM27" s="157">
        <v>0</v>
      </c>
      <c r="AN27" s="156">
        <v>0</v>
      </c>
      <c r="AO27" s="156">
        <v>0</v>
      </c>
      <c r="AP27" s="157">
        <v>0</v>
      </c>
      <c r="AQ27" s="156">
        <v>0</v>
      </c>
      <c r="AR27" s="156">
        <v>0</v>
      </c>
      <c r="AS27" s="156">
        <v>0</v>
      </c>
      <c r="AT27" s="156">
        <v>0</v>
      </c>
      <c r="AU27" s="156">
        <v>0</v>
      </c>
      <c r="AV27" s="156">
        <v>0</v>
      </c>
      <c r="AW27" s="156">
        <v>0</v>
      </c>
      <c r="AX27" s="156">
        <v>0</v>
      </c>
      <c r="AY27" s="156">
        <v>0</v>
      </c>
      <c r="AZ27" s="156">
        <v>0</v>
      </c>
      <c r="BA27" s="156">
        <v>0</v>
      </c>
      <c r="BB27" s="156">
        <v>0</v>
      </c>
      <c r="BC27" s="156">
        <v>0</v>
      </c>
      <c r="BE27" s="16">
        <f t="shared" si="4"/>
        <v>14919.539</v>
      </c>
      <c r="BF27" s="16"/>
      <c r="BG27" s="16">
        <f t="shared" si="5"/>
        <v>0</v>
      </c>
      <c r="BH27" s="16">
        <f t="shared" si="6"/>
        <v>14919.539</v>
      </c>
    </row>
    <row r="28" spans="1:60" ht="11.25" customHeight="1" hidden="1" outlineLevel="1">
      <c r="A28" s="155" t="s">
        <v>281</v>
      </c>
      <c r="B28" s="157">
        <v>9472844</v>
      </c>
      <c r="C28" s="226">
        <v>3127652</v>
      </c>
      <c r="D28" s="156">
        <v>9627526</v>
      </c>
      <c r="E28" s="156">
        <v>5121040.467</v>
      </c>
      <c r="F28" s="156">
        <v>5455361</v>
      </c>
      <c r="G28" s="156">
        <v>5077361</v>
      </c>
      <c r="H28" s="156">
        <v>132100</v>
      </c>
      <c r="I28" s="156">
        <v>1537632</v>
      </c>
      <c r="J28" s="156">
        <v>415054</v>
      </c>
      <c r="K28" s="156">
        <v>2673403</v>
      </c>
      <c r="L28" s="157">
        <v>594580</v>
      </c>
      <c r="M28" s="157">
        <v>2104549</v>
      </c>
      <c r="N28" s="157">
        <v>2197230</v>
      </c>
      <c r="O28" s="157">
        <v>714223</v>
      </c>
      <c r="P28" s="156">
        <v>1582325</v>
      </c>
      <c r="Q28" s="147">
        <v>0</v>
      </c>
      <c r="R28" s="156">
        <v>1806689.4</v>
      </c>
      <c r="S28" s="156">
        <v>1544114</v>
      </c>
      <c r="T28" s="157">
        <v>1152323.629</v>
      </c>
      <c r="U28" s="156">
        <v>930776</v>
      </c>
      <c r="V28" s="156">
        <v>0</v>
      </c>
      <c r="W28" s="156">
        <v>1213407</v>
      </c>
      <c r="X28" s="156">
        <v>898213</v>
      </c>
      <c r="Y28" s="156">
        <v>1440403</v>
      </c>
      <c r="Z28" s="156">
        <v>732861.67</v>
      </c>
      <c r="AA28" s="156">
        <v>55566.595</v>
      </c>
      <c r="AB28" s="156">
        <v>990646</v>
      </c>
      <c r="AC28" s="156">
        <v>772728.243</v>
      </c>
      <c r="AD28" s="156">
        <v>91708.668</v>
      </c>
      <c r="AE28" s="79">
        <v>882819</v>
      </c>
      <c r="AF28" s="157">
        <v>664740.821</v>
      </c>
      <c r="AG28" s="156">
        <v>734988</v>
      </c>
      <c r="AH28" s="156">
        <v>466131</v>
      </c>
      <c r="AI28" s="156">
        <v>292747</v>
      </c>
      <c r="AJ28" s="156">
        <v>23246</v>
      </c>
      <c r="AK28" s="156">
        <v>235038</v>
      </c>
      <c r="AL28" s="156">
        <v>236061</v>
      </c>
      <c r="AM28" s="157">
        <v>271096</v>
      </c>
      <c r="AN28" s="156">
        <v>18456</v>
      </c>
      <c r="AO28" s="157">
        <v>106499</v>
      </c>
      <c r="AP28" s="157">
        <v>126138</v>
      </c>
      <c r="AQ28" s="156">
        <v>177486</v>
      </c>
      <c r="AR28" s="156">
        <v>160182</v>
      </c>
      <c r="AS28" s="156">
        <v>116242</v>
      </c>
      <c r="AT28" s="156">
        <v>79111.793</v>
      </c>
      <c r="AU28" s="156">
        <v>60560.566</v>
      </c>
      <c r="AV28" s="156">
        <v>57693</v>
      </c>
      <c r="AW28" s="156">
        <v>54763</v>
      </c>
      <c r="AX28" s="156">
        <v>45401</v>
      </c>
      <c r="AY28" s="156">
        <f>41970878/1000</f>
        <v>41970.878</v>
      </c>
      <c r="AZ28" s="156">
        <v>22227</v>
      </c>
      <c r="BA28" s="156">
        <v>6874</v>
      </c>
      <c r="BB28" s="157">
        <v>641</v>
      </c>
      <c r="BC28" s="157">
        <v>2497</v>
      </c>
      <c r="BE28" s="16">
        <f t="shared" si="4"/>
        <v>66345926.73</v>
      </c>
      <c r="BF28" s="16"/>
      <c r="BG28" s="16">
        <f t="shared" si="5"/>
        <v>11375272.121000001</v>
      </c>
      <c r="BH28" s="16">
        <f t="shared" si="6"/>
        <v>54970654.609</v>
      </c>
    </row>
    <row r="29" spans="1:60" ht="11.25" customHeight="1" hidden="1" outlineLevel="1">
      <c r="A29" s="155" t="s">
        <v>282</v>
      </c>
      <c r="B29" s="147">
        <v>0</v>
      </c>
      <c r="C29" s="147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7">
        <v>0</v>
      </c>
      <c r="K29" s="14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47">
        <v>0</v>
      </c>
      <c r="R29" s="156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35"/>
      <c r="AF29" s="157">
        <v>0</v>
      </c>
      <c r="AG29" s="156">
        <v>0</v>
      </c>
      <c r="AH29" s="156">
        <v>0</v>
      </c>
      <c r="AI29" s="156">
        <v>0</v>
      </c>
      <c r="AJ29" s="156">
        <v>0</v>
      </c>
      <c r="AK29" s="156">
        <v>0</v>
      </c>
      <c r="AL29" s="156">
        <v>0</v>
      </c>
      <c r="AM29" s="157">
        <v>0</v>
      </c>
      <c r="AN29" s="156">
        <v>0</v>
      </c>
      <c r="AO29" s="156">
        <v>0</v>
      </c>
      <c r="AP29" s="156">
        <v>0</v>
      </c>
      <c r="AQ29" s="156">
        <v>0</v>
      </c>
      <c r="AR29" s="156">
        <v>0</v>
      </c>
      <c r="AS29" s="156">
        <v>0</v>
      </c>
      <c r="AT29" s="156">
        <v>0</v>
      </c>
      <c r="AU29" s="156">
        <v>0</v>
      </c>
      <c r="AV29" s="156">
        <v>0</v>
      </c>
      <c r="AW29" s="156">
        <v>0</v>
      </c>
      <c r="AX29" s="156">
        <v>0</v>
      </c>
      <c r="AY29" s="156">
        <v>0</v>
      </c>
      <c r="AZ29" s="156">
        <v>0</v>
      </c>
      <c r="BA29" s="156">
        <v>0</v>
      </c>
      <c r="BB29" s="156">
        <v>0</v>
      </c>
      <c r="BC29" s="156">
        <v>0</v>
      </c>
      <c r="BE29" s="16">
        <f t="shared" si="4"/>
        <v>0</v>
      </c>
      <c r="BF29" s="16"/>
      <c r="BG29" s="16">
        <f t="shared" si="5"/>
        <v>0</v>
      </c>
      <c r="BH29" s="16">
        <f t="shared" si="6"/>
        <v>0</v>
      </c>
    </row>
    <row r="30" spans="1:60" ht="11.25" customHeight="1" hidden="1" outlineLevel="1">
      <c r="A30" s="155" t="s">
        <v>283</v>
      </c>
      <c r="B30" s="147">
        <v>0</v>
      </c>
      <c r="C30" s="147">
        <v>0</v>
      </c>
      <c r="D30" s="156">
        <v>0</v>
      </c>
      <c r="E30" s="156">
        <v>3112.752</v>
      </c>
      <c r="F30" s="156">
        <v>0</v>
      </c>
      <c r="G30" s="156">
        <v>0</v>
      </c>
      <c r="H30" s="156">
        <v>0</v>
      </c>
      <c r="I30" s="156">
        <v>0</v>
      </c>
      <c r="J30" s="157">
        <v>0</v>
      </c>
      <c r="K30" s="156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47">
        <v>0</v>
      </c>
      <c r="R30" s="156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3148</v>
      </c>
      <c r="Y30" s="157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35"/>
      <c r="AF30" s="157">
        <v>0</v>
      </c>
      <c r="AG30" s="156">
        <v>0</v>
      </c>
      <c r="AH30" s="156">
        <v>0</v>
      </c>
      <c r="AI30" s="156">
        <v>0</v>
      </c>
      <c r="AJ30" s="156">
        <v>0</v>
      </c>
      <c r="AK30" s="156">
        <v>0</v>
      </c>
      <c r="AL30" s="156">
        <v>0</v>
      </c>
      <c r="AM30" s="157">
        <v>0</v>
      </c>
      <c r="AN30" s="156">
        <v>0</v>
      </c>
      <c r="AO30" s="156">
        <v>0</v>
      </c>
      <c r="AP30" s="156">
        <v>0</v>
      </c>
      <c r="AQ30" s="156">
        <v>0</v>
      </c>
      <c r="AR30" s="156">
        <v>0</v>
      </c>
      <c r="AS30" s="156">
        <v>0</v>
      </c>
      <c r="AT30" s="156">
        <v>0</v>
      </c>
      <c r="AU30" s="156">
        <v>0</v>
      </c>
      <c r="AV30" s="156">
        <v>0</v>
      </c>
      <c r="AW30" s="156">
        <v>0</v>
      </c>
      <c r="AX30" s="156">
        <v>0</v>
      </c>
      <c r="AY30" s="156">
        <v>0</v>
      </c>
      <c r="AZ30" s="156">
        <v>0</v>
      </c>
      <c r="BA30" s="156">
        <v>0</v>
      </c>
      <c r="BB30" s="156">
        <v>0</v>
      </c>
      <c r="BC30" s="156">
        <v>0</v>
      </c>
      <c r="BE30" s="16">
        <f t="shared" si="4"/>
        <v>6260.752</v>
      </c>
      <c r="BF30" s="16"/>
      <c r="BG30" s="16">
        <f t="shared" si="5"/>
        <v>0</v>
      </c>
      <c r="BH30" s="16">
        <f t="shared" si="6"/>
        <v>6260.752</v>
      </c>
    </row>
    <row r="31" spans="1:60" ht="11.25" customHeight="1" hidden="1" outlineLevel="1">
      <c r="A31" s="155" t="s">
        <v>284</v>
      </c>
      <c r="B31" s="147">
        <v>-5637</v>
      </c>
      <c r="C31" s="224">
        <v>-4500</v>
      </c>
      <c r="D31" s="156">
        <v>-2623</v>
      </c>
      <c r="E31" s="156">
        <v>-40000</v>
      </c>
      <c r="F31" s="156">
        <v>-12433</v>
      </c>
      <c r="G31" s="156">
        <v>-29244</v>
      </c>
      <c r="H31" s="156">
        <v>0</v>
      </c>
      <c r="I31" s="156">
        <v>-7090</v>
      </c>
      <c r="J31" s="157">
        <v>0</v>
      </c>
      <c r="K31" s="156">
        <v>-1819</v>
      </c>
      <c r="L31" s="157">
        <v>0</v>
      </c>
      <c r="M31" s="157">
        <v>6502</v>
      </c>
      <c r="N31" s="157">
        <v>0</v>
      </c>
      <c r="O31" s="157">
        <v>0</v>
      </c>
      <c r="P31" s="156">
        <v>-45021</v>
      </c>
      <c r="Q31" s="147">
        <v>0</v>
      </c>
      <c r="R31" s="156">
        <v>11426</v>
      </c>
      <c r="S31" s="156">
        <v>-18000</v>
      </c>
      <c r="T31" s="157">
        <v>-6699</v>
      </c>
      <c r="U31" s="156">
        <v>0</v>
      </c>
      <c r="V31" s="156">
        <v>-1000</v>
      </c>
      <c r="W31" s="156">
        <v>-6806</v>
      </c>
      <c r="X31" s="156">
        <v>0</v>
      </c>
      <c r="Y31" s="156">
        <v>0</v>
      </c>
      <c r="Z31" s="156">
        <v>11661.701</v>
      </c>
      <c r="AA31" s="156">
        <v>884.206</v>
      </c>
      <c r="AB31" s="156">
        <v>7027</v>
      </c>
      <c r="AC31" s="156">
        <v>28202.25</v>
      </c>
      <c r="AD31" s="156">
        <v>0</v>
      </c>
      <c r="AE31" s="79"/>
      <c r="AF31" s="157">
        <v>0</v>
      </c>
      <c r="AG31" s="156">
        <v>-3500</v>
      </c>
      <c r="AH31" s="156">
        <v>0</v>
      </c>
      <c r="AI31" s="156">
        <v>0</v>
      </c>
      <c r="AJ31" s="156">
        <v>0</v>
      </c>
      <c r="AK31" s="156">
        <v>-5051</v>
      </c>
      <c r="AL31" s="156">
        <v>0</v>
      </c>
      <c r="AM31" s="157">
        <v>0</v>
      </c>
      <c r="AN31" s="156">
        <v>0</v>
      </c>
      <c r="AO31" s="156">
        <v>0</v>
      </c>
      <c r="AP31" s="156">
        <v>0</v>
      </c>
      <c r="AQ31" s="156">
        <v>984</v>
      </c>
      <c r="AR31" s="156">
        <v>1401</v>
      </c>
      <c r="AS31" s="156">
        <v>0</v>
      </c>
      <c r="AT31" s="156">
        <v>0</v>
      </c>
      <c r="AU31" s="156">
        <v>2904.234</v>
      </c>
      <c r="AV31" s="156">
        <v>0</v>
      </c>
      <c r="AW31" s="156">
        <v>0</v>
      </c>
      <c r="AX31" s="156">
        <v>0</v>
      </c>
      <c r="AY31" s="156">
        <v>0</v>
      </c>
      <c r="AZ31" s="156">
        <v>0</v>
      </c>
      <c r="BA31" s="156">
        <v>110</v>
      </c>
      <c r="BB31" s="156">
        <v>0</v>
      </c>
      <c r="BC31" s="156">
        <v>0</v>
      </c>
      <c r="BE31" s="16">
        <f t="shared" si="4"/>
        <v>-118320.609</v>
      </c>
      <c r="BF31" s="16"/>
      <c r="BG31" s="16">
        <f t="shared" si="5"/>
        <v>23076.25</v>
      </c>
      <c r="BH31" s="16">
        <f t="shared" si="6"/>
        <v>-141396.859</v>
      </c>
    </row>
    <row r="32" spans="1:60" ht="11.25" customHeight="1" hidden="1" outlineLevel="1">
      <c r="A32" s="155" t="s">
        <v>285</v>
      </c>
      <c r="B32" s="147">
        <v>0</v>
      </c>
      <c r="C32" s="147">
        <v>0</v>
      </c>
      <c r="D32" s="147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940039</v>
      </c>
      <c r="J32" s="157">
        <v>0</v>
      </c>
      <c r="K32" s="156">
        <v>0</v>
      </c>
      <c r="L32" s="157">
        <v>0</v>
      </c>
      <c r="M32" s="157">
        <v>0</v>
      </c>
      <c r="N32" s="157">
        <v>0</v>
      </c>
      <c r="O32" s="157">
        <v>0</v>
      </c>
      <c r="P32" s="156">
        <v>-558770</v>
      </c>
      <c r="Q32" s="147">
        <v>340028</v>
      </c>
      <c r="R32" s="156">
        <v>0</v>
      </c>
      <c r="S32" s="156">
        <v>0</v>
      </c>
      <c r="T32" s="157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47">
        <v>0</v>
      </c>
      <c r="AF32" s="157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7">
        <v>0</v>
      </c>
      <c r="AN32" s="156">
        <v>0</v>
      </c>
      <c r="AO32" s="156">
        <v>0</v>
      </c>
      <c r="AP32" s="156">
        <v>0</v>
      </c>
      <c r="AQ32" s="147">
        <v>0</v>
      </c>
      <c r="AR32" s="156">
        <v>16965</v>
      </c>
      <c r="AS32" s="156">
        <v>0</v>
      </c>
      <c r="AT32" s="159">
        <v>0</v>
      </c>
      <c r="AU32" s="156">
        <v>0</v>
      </c>
      <c r="AV32" s="156">
        <v>0</v>
      </c>
      <c r="AW32" s="156">
        <v>0</v>
      </c>
      <c r="AX32" s="156">
        <v>0</v>
      </c>
      <c r="AY32" s="156">
        <v>0</v>
      </c>
      <c r="AZ32" s="156">
        <v>0</v>
      </c>
      <c r="BA32" s="156">
        <v>0</v>
      </c>
      <c r="BB32" s="156">
        <v>0</v>
      </c>
      <c r="BC32" s="156">
        <v>0</v>
      </c>
      <c r="BE32" s="16">
        <f t="shared" si="4"/>
        <v>738262</v>
      </c>
      <c r="BF32" s="16"/>
      <c r="BG32" s="16">
        <f t="shared" si="5"/>
        <v>16965</v>
      </c>
      <c r="BH32" s="16">
        <f t="shared" si="6"/>
        <v>721297</v>
      </c>
    </row>
    <row r="33" spans="1:60" ht="11.25" customHeight="1" collapsed="1">
      <c r="A33" s="154" t="s">
        <v>401</v>
      </c>
      <c r="B33" s="157">
        <f>SUM(B24:B32)</f>
        <v>15676421</v>
      </c>
      <c r="C33" s="157">
        <f aca="true" t="shared" si="7" ref="C33:AO33">SUM(C24:C32)</f>
        <v>5480373</v>
      </c>
      <c r="D33" s="157">
        <f t="shared" si="7"/>
        <v>20615058</v>
      </c>
      <c r="E33" s="157">
        <f t="shared" si="7"/>
        <v>11738852.276</v>
      </c>
      <c r="F33" s="157">
        <f t="shared" si="7"/>
        <v>11826961</v>
      </c>
      <c r="G33" s="157">
        <f t="shared" si="7"/>
        <v>5705126</v>
      </c>
      <c r="H33" s="157">
        <f t="shared" si="7"/>
        <v>132100</v>
      </c>
      <c r="I33" s="157">
        <f t="shared" si="7"/>
        <v>5763925</v>
      </c>
      <c r="J33" s="157">
        <f>SUM(J24:J32)</f>
        <v>547912</v>
      </c>
      <c r="K33" s="157">
        <f t="shared" si="7"/>
        <v>4230870</v>
      </c>
      <c r="L33" s="157">
        <f t="shared" si="7"/>
        <v>659404</v>
      </c>
      <c r="M33" s="157">
        <f t="shared" si="7"/>
        <v>3089499</v>
      </c>
      <c r="N33" s="157">
        <f t="shared" si="7"/>
        <v>2201041</v>
      </c>
      <c r="O33" s="157">
        <f t="shared" si="7"/>
        <v>715458</v>
      </c>
      <c r="P33" s="157">
        <f t="shared" si="7"/>
        <v>3563573</v>
      </c>
      <c r="Q33" s="157">
        <f t="shared" si="7"/>
        <v>340028</v>
      </c>
      <c r="R33" s="157">
        <f>SUM(R24:R32)</f>
        <v>2676468.8</v>
      </c>
      <c r="S33" s="157">
        <f t="shared" si="7"/>
        <v>2107944</v>
      </c>
      <c r="T33" s="157">
        <f t="shared" si="7"/>
        <v>2594187.168</v>
      </c>
      <c r="U33" s="157">
        <f t="shared" si="7"/>
        <v>1589204</v>
      </c>
      <c r="V33" s="157">
        <f>SUM(V24:V32)</f>
        <v>1887943</v>
      </c>
      <c r="W33" s="157">
        <f t="shared" si="7"/>
        <v>1456689</v>
      </c>
      <c r="X33" s="157">
        <f t="shared" si="7"/>
        <v>2039489</v>
      </c>
      <c r="Y33" s="157">
        <f t="shared" si="7"/>
        <v>1473027</v>
      </c>
      <c r="Z33" s="157">
        <f>SUM(Z24:Z32)</f>
        <v>834675.4260000001</v>
      </c>
      <c r="AA33" s="157">
        <f>SUM(AA24:AA32)</f>
        <v>63286.256</v>
      </c>
      <c r="AB33" s="157">
        <f>SUM(AB24:AB32)</f>
        <v>1508885</v>
      </c>
      <c r="AC33" s="157">
        <f t="shared" si="7"/>
        <v>802021.709</v>
      </c>
      <c r="AD33" s="157">
        <f>SUM(AD24:AD32)</f>
        <v>92430.418</v>
      </c>
      <c r="AE33" s="157">
        <f t="shared" si="7"/>
        <v>945809</v>
      </c>
      <c r="AF33" s="157">
        <f t="shared" si="7"/>
        <v>1761158.371</v>
      </c>
      <c r="AG33" s="157">
        <f>SUM(AG24:AG32)</f>
        <v>748761</v>
      </c>
      <c r="AH33" s="157">
        <f t="shared" si="7"/>
        <v>466131</v>
      </c>
      <c r="AI33" s="157">
        <f t="shared" si="7"/>
        <v>533607</v>
      </c>
      <c r="AJ33" s="157">
        <f t="shared" si="7"/>
        <v>23246</v>
      </c>
      <c r="AK33" s="157">
        <f t="shared" si="7"/>
        <v>248809</v>
      </c>
      <c r="AL33" s="157">
        <f t="shared" si="7"/>
        <v>232296</v>
      </c>
      <c r="AM33" s="157">
        <f t="shared" si="7"/>
        <v>274350</v>
      </c>
      <c r="AN33" s="157">
        <f>SUM(AN24:AN32)</f>
        <v>18478</v>
      </c>
      <c r="AO33" s="157">
        <f t="shared" si="7"/>
        <v>152303</v>
      </c>
      <c r="AP33" s="157">
        <f aca="true" t="shared" si="8" ref="AP33:BC33">SUM(AP24:AP32)</f>
        <v>153601</v>
      </c>
      <c r="AQ33" s="157">
        <f t="shared" si="8"/>
        <v>178696</v>
      </c>
      <c r="AR33" s="157">
        <f t="shared" si="8"/>
        <v>178548</v>
      </c>
      <c r="AS33" s="156">
        <f t="shared" si="8"/>
        <v>116242</v>
      </c>
      <c r="AT33" s="157">
        <f t="shared" si="8"/>
        <v>79147.793</v>
      </c>
      <c r="AU33" s="157">
        <f t="shared" si="8"/>
        <v>59992.829</v>
      </c>
      <c r="AV33" s="157">
        <f t="shared" si="8"/>
        <v>61710</v>
      </c>
      <c r="AW33" s="157">
        <f t="shared" si="8"/>
        <v>54774</v>
      </c>
      <c r="AX33" s="157">
        <f t="shared" si="8"/>
        <v>45401</v>
      </c>
      <c r="AY33" s="157">
        <f t="shared" si="8"/>
        <v>41970.878</v>
      </c>
      <c r="AZ33" s="157">
        <f t="shared" si="8"/>
        <v>23419</v>
      </c>
      <c r="BA33" s="157">
        <f t="shared" si="8"/>
        <v>6984</v>
      </c>
      <c r="BB33" s="157">
        <f>SUM(BB24:BB32)</f>
        <v>641</v>
      </c>
      <c r="BC33" s="157">
        <f t="shared" si="8"/>
        <v>2497</v>
      </c>
      <c r="BE33" s="16">
        <f t="shared" si="4"/>
        <v>117821424.924</v>
      </c>
      <c r="BF33" s="16"/>
      <c r="BG33" s="16">
        <f t="shared" si="5"/>
        <v>19593037.586999997</v>
      </c>
      <c r="BH33" s="16">
        <f t="shared" si="6"/>
        <v>98228387.33699998</v>
      </c>
    </row>
    <row r="34" spans="1:61" ht="11.25" customHeight="1">
      <c r="A34" s="154"/>
      <c r="C34" s="224"/>
      <c r="D34" s="159"/>
      <c r="E34" s="159"/>
      <c r="F34" s="159"/>
      <c r="G34" s="159"/>
      <c r="H34" s="159"/>
      <c r="I34" s="159"/>
      <c r="J34" s="159"/>
      <c r="K34" s="159"/>
      <c r="L34" s="157"/>
      <c r="P34" s="159"/>
      <c r="Q34" s="159"/>
      <c r="R34" s="158"/>
      <c r="S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G34" s="159"/>
      <c r="AH34" s="158"/>
      <c r="AI34" s="159"/>
      <c r="AJ34" s="159"/>
      <c r="AK34" s="159"/>
      <c r="AL34" s="159"/>
      <c r="AM34" s="168"/>
      <c r="AN34" s="159"/>
      <c r="AO34" s="168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E34" s="16"/>
      <c r="BF34" s="16"/>
      <c r="BG34" s="16"/>
      <c r="BH34" s="16"/>
      <c r="BI34" s="157"/>
    </row>
    <row r="35" spans="1:61" ht="11.25" customHeight="1" hidden="1" outlineLevel="1">
      <c r="A35" s="154" t="s">
        <v>287</v>
      </c>
      <c r="C35" s="224"/>
      <c r="D35" s="159"/>
      <c r="E35" s="159"/>
      <c r="F35" s="159"/>
      <c r="G35" s="159"/>
      <c r="H35" s="159"/>
      <c r="I35" s="159"/>
      <c r="J35" s="159"/>
      <c r="K35" s="159"/>
      <c r="L35" s="157"/>
      <c r="P35" s="159"/>
      <c r="Q35" s="159"/>
      <c r="R35" s="158"/>
      <c r="S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G35" s="159"/>
      <c r="AH35" s="158"/>
      <c r="AI35" s="159"/>
      <c r="AJ35" s="159"/>
      <c r="AK35" s="159"/>
      <c r="AL35" s="159"/>
      <c r="AM35" s="168"/>
      <c r="AN35" s="159"/>
      <c r="AO35" s="168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E35" s="16"/>
      <c r="BF35" s="16"/>
      <c r="BG35" s="16"/>
      <c r="BH35" s="16"/>
      <c r="BI35" s="157"/>
    </row>
    <row r="36" spans="1:61" ht="11.25" customHeight="1" hidden="1" outlineLevel="1">
      <c r="A36" s="155" t="s">
        <v>288</v>
      </c>
      <c r="B36" s="157">
        <v>101603</v>
      </c>
      <c r="C36" s="225">
        <v>43563</v>
      </c>
      <c r="D36" s="156">
        <v>156433</v>
      </c>
      <c r="E36" s="156">
        <v>46514</v>
      </c>
      <c r="F36" s="156">
        <v>29739</v>
      </c>
      <c r="G36" s="156">
        <v>85312</v>
      </c>
      <c r="H36" s="156">
        <v>3092</v>
      </c>
      <c r="I36" s="156">
        <v>27017</v>
      </c>
      <c r="J36" s="156">
        <v>15991</v>
      </c>
      <c r="K36" s="156">
        <v>26706</v>
      </c>
      <c r="L36" s="157">
        <v>6089</v>
      </c>
      <c r="M36" s="157">
        <v>39545</v>
      </c>
      <c r="N36" s="157">
        <v>6021</v>
      </c>
      <c r="O36" s="157">
        <v>1662</v>
      </c>
      <c r="P36" s="156">
        <v>29058</v>
      </c>
      <c r="Q36" s="156">
        <v>0</v>
      </c>
      <c r="R36" s="156">
        <v>10542</v>
      </c>
      <c r="S36" s="156">
        <v>29326</v>
      </c>
      <c r="T36" s="157">
        <v>27626.446</v>
      </c>
      <c r="U36" s="156">
        <v>24759</v>
      </c>
      <c r="V36" s="156">
        <v>13748</v>
      </c>
      <c r="W36" s="156">
        <v>23642</v>
      </c>
      <c r="X36" s="156">
        <v>11660</v>
      </c>
      <c r="Y36" s="156">
        <v>10195</v>
      </c>
      <c r="Z36" s="156">
        <v>7184.586</v>
      </c>
      <c r="AA36" s="156">
        <v>545</v>
      </c>
      <c r="AB36" s="156">
        <v>14179</v>
      </c>
      <c r="AC36" s="156">
        <v>0</v>
      </c>
      <c r="AD36" s="156">
        <v>2062.834</v>
      </c>
      <c r="AE36" s="79">
        <v>4541</v>
      </c>
      <c r="AF36" s="157">
        <v>5211.464</v>
      </c>
      <c r="AG36" s="156">
        <v>14571</v>
      </c>
      <c r="AH36" s="156">
        <v>2153</v>
      </c>
      <c r="AI36" s="156">
        <v>5105</v>
      </c>
      <c r="AJ36" s="156">
        <v>551</v>
      </c>
      <c r="AK36" s="156">
        <v>5368</v>
      </c>
      <c r="AL36" s="156">
        <v>3309</v>
      </c>
      <c r="AM36" s="157">
        <v>1952</v>
      </c>
      <c r="AN36" s="156">
        <v>0</v>
      </c>
      <c r="AO36" s="157">
        <v>2479</v>
      </c>
      <c r="AP36" s="157">
        <v>2883</v>
      </c>
      <c r="AQ36" s="156">
        <v>717</v>
      </c>
      <c r="AR36" s="156">
        <v>1277</v>
      </c>
      <c r="AS36" s="156">
        <v>1300</v>
      </c>
      <c r="AT36" s="156">
        <v>391.589</v>
      </c>
      <c r="AU36" s="156">
        <v>185.043</v>
      </c>
      <c r="AV36" s="156">
        <v>842</v>
      </c>
      <c r="AW36" s="156">
        <v>510</v>
      </c>
      <c r="AX36" s="156">
        <v>148</v>
      </c>
      <c r="AY36" s="156">
        <f>56488/1000</f>
        <v>56.488</v>
      </c>
      <c r="AZ36" s="156">
        <v>1573</v>
      </c>
      <c r="BA36" s="156">
        <v>0</v>
      </c>
      <c r="BB36" s="156">
        <v>0</v>
      </c>
      <c r="BC36" s="156">
        <v>0</v>
      </c>
      <c r="BE36" s="16">
        <f aca="true" t="shared" si="9" ref="BE36:BE41">SUM(B36:BC36)</f>
        <v>848938.4500000001</v>
      </c>
      <c r="BF36" s="16"/>
      <c r="BG36" s="16">
        <f aca="true" t="shared" si="10" ref="BG36:BG41">+B36+AC36+AH36+AJ36+AO36+AP36+AR36+AS36+AV36+AY36+AZ36+BA36+BC36+V36</f>
        <v>128465.488</v>
      </c>
      <c r="BH36" s="16">
        <f aca="true" t="shared" si="11" ref="BH36:BH41">+C36+D36+E36+F36+G36+H36+I36+J36+K36+L36+M36+N36+O36+P36+Q36+R36+S36+T36+U36+W36+X36+Y36+Z36+AA36+AB36+AD36+AE36+AF36+AG36+AI36+AK36+AL36+AM36+AN36+AQ36+AT36+AU36+AW36+AX36+BB36</f>
        <v>720472.962</v>
      </c>
      <c r="BI36" s="157"/>
    </row>
    <row r="37" spans="1:61" ht="11.25" customHeight="1" hidden="1" outlineLevel="1">
      <c r="A37" s="155" t="s">
        <v>289</v>
      </c>
      <c r="B37" s="147">
        <v>0</v>
      </c>
      <c r="C37" s="147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7">
        <v>0</v>
      </c>
      <c r="K37" s="156">
        <v>418</v>
      </c>
      <c r="L37" s="157">
        <v>49</v>
      </c>
      <c r="M37" s="157">
        <v>0</v>
      </c>
      <c r="N37" s="157">
        <v>0</v>
      </c>
      <c r="O37" s="157">
        <v>0</v>
      </c>
      <c r="P37" s="156">
        <v>838</v>
      </c>
      <c r="Q37" s="156">
        <v>0</v>
      </c>
      <c r="R37" s="156">
        <v>0</v>
      </c>
      <c r="S37" s="156">
        <v>0</v>
      </c>
      <c r="T37" s="157">
        <v>529.425</v>
      </c>
      <c r="U37" s="156">
        <v>0</v>
      </c>
      <c r="V37" s="156">
        <v>0</v>
      </c>
      <c r="W37" s="156">
        <v>119</v>
      </c>
      <c r="X37" s="156">
        <v>0</v>
      </c>
      <c r="Y37" s="156">
        <v>462</v>
      </c>
      <c r="Z37" s="156">
        <v>0</v>
      </c>
      <c r="AA37" s="156">
        <v>0</v>
      </c>
      <c r="AB37" s="156">
        <v>6</v>
      </c>
      <c r="AC37" s="156">
        <v>0</v>
      </c>
      <c r="AD37" s="156">
        <v>0</v>
      </c>
      <c r="AE37" s="79">
        <v>63</v>
      </c>
      <c r="AF37" s="157">
        <v>0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0</v>
      </c>
      <c r="AM37" s="157">
        <v>68</v>
      </c>
      <c r="AN37" s="156">
        <v>23</v>
      </c>
      <c r="AO37" s="157">
        <v>0</v>
      </c>
      <c r="AP37" s="157">
        <v>0</v>
      </c>
      <c r="AQ37" s="156">
        <v>156</v>
      </c>
      <c r="AR37" s="156">
        <v>0</v>
      </c>
      <c r="AS37" s="156">
        <v>61</v>
      </c>
      <c r="AT37" s="156">
        <v>356.247</v>
      </c>
      <c r="AU37" s="157">
        <v>0</v>
      </c>
      <c r="AV37" s="157">
        <v>0</v>
      </c>
      <c r="AW37" s="156">
        <v>53</v>
      </c>
      <c r="AX37" s="156">
        <v>0</v>
      </c>
      <c r="AY37" s="156">
        <v>0</v>
      </c>
      <c r="AZ37" s="156">
        <v>0</v>
      </c>
      <c r="BA37" s="156">
        <v>0</v>
      </c>
      <c r="BB37" s="156">
        <v>0</v>
      </c>
      <c r="BC37" s="156">
        <v>0</v>
      </c>
      <c r="BE37" s="16">
        <f t="shared" si="9"/>
        <v>3201.672</v>
      </c>
      <c r="BF37" s="16"/>
      <c r="BG37" s="16">
        <f t="shared" si="10"/>
        <v>61</v>
      </c>
      <c r="BH37" s="16">
        <f t="shared" si="11"/>
        <v>3140.672</v>
      </c>
      <c r="BI37" s="157"/>
    </row>
    <row r="38" spans="1:61" ht="11.25" customHeight="1" hidden="1" outlineLevel="1">
      <c r="A38" s="155" t="s">
        <v>290</v>
      </c>
      <c r="B38" s="147">
        <v>0</v>
      </c>
      <c r="C38" s="147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7">
        <v>0</v>
      </c>
      <c r="K38" s="156">
        <v>0</v>
      </c>
      <c r="L38" s="157">
        <v>0</v>
      </c>
      <c r="M38" s="157">
        <v>0</v>
      </c>
      <c r="N38" s="157">
        <v>0</v>
      </c>
      <c r="O38" s="157">
        <v>0</v>
      </c>
      <c r="P38" s="156">
        <v>0</v>
      </c>
      <c r="Q38" s="156">
        <v>0</v>
      </c>
      <c r="R38" s="156">
        <v>0</v>
      </c>
      <c r="S38" s="156">
        <v>0</v>
      </c>
      <c r="T38" s="157">
        <v>0</v>
      </c>
      <c r="U38" s="156">
        <v>0</v>
      </c>
      <c r="V38" s="156">
        <v>0</v>
      </c>
      <c r="W38" s="156">
        <v>661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79"/>
      <c r="AF38" s="157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0</v>
      </c>
      <c r="AM38" s="157">
        <v>0</v>
      </c>
      <c r="AN38" s="157">
        <v>0</v>
      </c>
      <c r="AO38" s="157">
        <v>0</v>
      </c>
      <c r="AP38" s="157">
        <v>0</v>
      </c>
      <c r="AQ38" s="157">
        <v>0</v>
      </c>
      <c r="AR38" s="157">
        <v>0</v>
      </c>
      <c r="AS38" s="156">
        <v>0</v>
      </c>
      <c r="AT38" s="157">
        <v>0</v>
      </c>
      <c r="AU38" s="157">
        <v>0</v>
      </c>
      <c r="AV38" s="147">
        <v>0</v>
      </c>
      <c r="AW38" s="157">
        <v>0</v>
      </c>
      <c r="AX38" s="156">
        <v>0</v>
      </c>
      <c r="AY38" s="156">
        <v>0</v>
      </c>
      <c r="AZ38" s="156">
        <v>0</v>
      </c>
      <c r="BA38" s="156">
        <v>0</v>
      </c>
      <c r="BB38" s="156">
        <v>0</v>
      </c>
      <c r="BC38" s="156">
        <v>0</v>
      </c>
      <c r="BE38" s="16">
        <f t="shared" si="9"/>
        <v>661</v>
      </c>
      <c r="BF38" s="16"/>
      <c r="BG38" s="16">
        <f t="shared" si="10"/>
        <v>0</v>
      </c>
      <c r="BH38" s="16">
        <f t="shared" si="11"/>
        <v>661</v>
      </c>
      <c r="BI38" s="157"/>
    </row>
    <row r="39" spans="1:61" ht="11.25" customHeight="1" hidden="1" outlineLevel="1">
      <c r="A39" s="155" t="s">
        <v>291</v>
      </c>
      <c r="B39" s="147">
        <v>0</v>
      </c>
      <c r="C39" s="147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7">
        <v>0</v>
      </c>
      <c r="K39" s="156">
        <v>0</v>
      </c>
      <c r="L39" s="157">
        <v>0</v>
      </c>
      <c r="M39" s="157">
        <v>0</v>
      </c>
      <c r="N39" s="157">
        <v>0</v>
      </c>
      <c r="O39" s="157">
        <v>0</v>
      </c>
      <c r="P39" s="156">
        <v>0</v>
      </c>
      <c r="Q39" s="156">
        <v>0</v>
      </c>
      <c r="R39" s="156">
        <v>0</v>
      </c>
      <c r="S39" s="156">
        <v>0</v>
      </c>
      <c r="T39" s="157">
        <v>0</v>
      </c>
      <c r="U39" s="156">
        <v>0</v>
      </c>
      <c r="V39" s="156">
        <v>0</v>
      </c>
      <c r="W39" s="156">
        <v>0</v>
      </c>
      <c r="X39" s="156">
        <v>1952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79"/>
      <c r="AF39" s="157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7">
        <v>0</v>
      </c>
      <c r="AN39" s="157">
        <v>0</v>
      </c>
      <c r="AO39" s="157">
        <v>0</v>
      </c>
      <c r="AP39" s="157">
        <v>0</v>
      </c>
      <c r="AQ39" s="157">
        <v>0</v>
      </c>
      <c r="AR39" s="157">
        <v>0</v>
      </c>
      <c r="AS39" s="156">
        <v>0</v>
      </c>
      <c r="AT39" s="157">
        <v>0</v>
      </c>
      <c r="AU39" s="157">
        <v>0</v>
      </c>
      <c r="AV39" s="147">
        <v>0</v>
      </c>
      <c r="AW39" s="157">
        <v>0</v>
      </c>
      <c r="AX39" s="156">
        <v>0</v>
      </c>
      <c r="AY39" s="156">
        <v>0</v>
      </c>
      <c r="AZ39" s="156">
        <v>0</v>
      </c>
      <c r="BA39" s="156">
        <v>0</v>
      </c>
      <c r="BB39" s="156">
        <v>0</v>
      </c>
      <c r="BC39" s="156">
        <v>0</v>
      </c>
      <c r="BE39" s="16">
        <f t="shared" si="9"/>
        <v>1952</v>
      </c>
      <c r="BF39" s="16"/>
      <c r="BG39" s="16">
        <f t="shared" si="10"/>
        <v>0</v>
      </c>
      <c r="BH39" s="16">
        <f t="shared" si="11"/>
        <v>1952</v>
      </c>
      <c r="BI39" s="157"/>
    </row>
    <row r="40" spans="1:61" ht="11.25" customHeight="1" hidden="1" outlineLevel="1">
      <c r="A40" s="155" t="s">
        <v>292</v>
      </c>
      <c r="B40" s="147">
        <v>295033</v>
      </c>
      <c r="C40" s="224">
        <v>113057</v>
      </c>
      <c r="D40" s="156">
        <v>0</v>
      </c>
      <c r="E40" s="156">
        <v>21627</v>
      </c>
      <c r="F40" s="156">
        <v>0</v>
      </c>
      <c r="G40" s="156">
        <v>0</v>
      </c>
      <c r="H40" s="156">
        <v>0</v>
      </c>
      <c r="I40" s="156">
        <v>0</v>
      </c>
      <c r="J40" s="157">
        <v>124</v>
      </c>
      <c r="K40" s="156">
        <v>0</v>
      </c>
      <c r="L40" s="157">
        <v>0</v>
      </c>
      <c r="M40" s="157">
        <v>0</v>
      </c>
      <c r="N40" s="157">
        <v>0</v>
      </c>
      <c r="O40" s="157">
        <v>0</v>
      </c>
      <c r="P40" s="156">
        <v>-7773</v>
      </c>
      <c r="Q40" s="156">
        <v>5381</v>
      </c>
      <c r="R40" s="156">
        <v>0</v>
      </c>
      <c r="S40" s="156">
        <v>18737</v>
      </c>
      <c r="T40" s="157">
        <v>0</v>
      </c>
      <c r="U40" s="156">
        <v>0</v>
      </c>
      <c r="V40" s="156">
        <v>37959</v>
      </c>
      <c r="W40" s="156">
        <v>0</v>
      </c>
      <c r="X40" s="156">
        <v>574</v>
      </c>
      <c r="Y40" s="156">
        <v>10719</v>
      </c>
      <c r="Z40" s="156">
        <v>1560.932</v>
      </c>
      <c r="AA40" s="156">
        <v>118</v>
      </c>
      <c r="AB40" s="156">
        <v>2464</v>
      </c>
      <c r="AC40" s="156">
        <v>1111</v>
      </c>
      <c r="AD40" s="156">
        <v>74.866</v>
      </c>
      <c r="AE40" s="79">
        <v>10046</v>
      </c>
      <c r="AF40" s="157">
        <v>0</v>
      </c>
      <c r="AG40" s="156">
        <v>17601</v>
      </c>
      <c r="AH40" s="156">
        <v>0</v>
      </c>
      <c r="AI40" s="156">
        <v>0</v>
      </c>
      <c r="AJ40" s="156">
        <v>0</v>
      </c>
      <c r="AK40" s="156">
        <v>548</v>
      </c>
      <c r="AL40" s="156">
        <v>0</v>
      </c>
      <c r="AM40" s="157">
        <v>154</v>
      </c>
      <c r="AN40" s="157">
        <v>0</v>
      </c>
      <c r="AO40" s="157">
        <v>0</v>
      </c>
      <c r="AP40" s="157">
        <v>0</v>
      </c>
      <c r="AQ40" s="157">
        <v>0</v>
      </c>
      <c r="AR40" s="157">
        <v>0</v>
      </c>
      <c r="AS40" s="156">
        <v>0</v>
      </c>
      <c r="AT40" s="157">
        <v>0</v>
      </c>
      <c r="AU40" s="157">
        <v>0</v>
      </c>
      <c r="AV40" s="156">
        <v>72</v>
      </c>
      <c r="AW40" s="156">
        <v>0</v>
      </c>
      <c r="AX40" s="156">
        <v>0</v>
      </c>
      <c r="AY40" s="156">
        <v>0</v>
      </c>
      <c r="AZ40" s="156">
        <v>0</v>
      </c>
      <c r="BA40" s="156">
        <v>0</v>
      </c>
      <c r="BB40" s="157">
        <v>0</v>
      </c>
      <c r="BC40" s="157">
        <v>3157</v>
      </c>
      <c r="BE40" s="16">
        <f t="shared" si="9"/>
        <v>532344.798</v>
      </c>
      <c r="BF40" s="16"/>
      <c r="BG40" s="16">
        <f t="shared" si="10"/>
        <v>337332</v>
      </c>
      <c r="BH40" s="16">
        <f t="shared" si="11"/>
        <v>195012.798</v>
      </c>
      <c r="BI40" s="157"/>
    </row>
    <row r="41" spans="1:61" ht="11.25" customHeight="1" collapsed="1">
      <c r="A41" s="154" t="s">
        <v>402</v>
      </c>
      <c r="B41" s="147">
        <f aca="true" t="shared" si="12" ref="B41:AO41">SUM(B36:B40)</f>
        <v>396636</v>
      </c>
      <c r="C41" s="147">
        <f t="shared" si="12"/>
        <v>156620</v>
      </c>
      <c r="D41" s="147">
        <f t="shared" si="12"/>
        <v>156433</v>
      </c>
      <c r="E41" s="147">
        <f t="shared" si="12"/>
        <v>68141</v>
      </c>
      <c r="F41" s="147">
        <f t="shared" si="12"/>
        <v>29739</v>
      </c>
      <c r="G41" s="147">
        <f t="shared" si="12"/>
        <v>85312</v>
      </c>
      <c r="H41" s="147">
        <f t="shared" si="12"/>
        <v>3092</v>
      </c>
      <c r="I41" s="147">
        <f t="shared" si="12"/>
        <v>27017</v>
      </c>
      <c r="J41" s="147">
        <f>SUM(J36:J40)</f>
        <v>16115</v>
      </c>
      <c r="K41" s="147">
        <f t="shared" si="12"/>
        <v>27124</v>
      </c>
      <c r="L41" s="147">
        <f t="shared" si="12"/>
        <v>6138</v>
      </c>
      <c r="M41" s="147">
        <f t="shared" si="12"/>
        <v>39545</v>
      </c>
      <c r="N41" s="147">
        <f t="shared" si="12"/>
        <v>6021</v>
      </c>
      <c r="O41" s="147">
        <f t="shared" si="12"/>
        <v>1662</v>
      </c>
      <c r="P41" s="147">
        <f t="shared" si="12"/>
        <v>22123</v>
      </c>
      <c r="Q41" s="147">
        <f t="shared" si="12"/>
        <v>5381</v>
      </c>
      <c r="R41" s="147">
        <f>SUM(R36:R40)</f>
        <v>10542</v>
      </c>
      <c r="S41" s="147">
        <f t="shared" si="12"/>
        <v>48063</v>
      </c>
      <c r="T41" s="147">
        <f t="shared" si="12"/>
        <v>28155.871</v>
      </c>
      <c r="U41" s="147">
        <f t="shared" si="12"/>
        <v>24759</v>
      </c>
      <c r="V41" s="147">
        <f>SUM(V36:V40)</f>
        <v>51707</v>
      </c>
      <c r="W41" s="147">
        <f t="shared" si="12"/>
        <v>24422</v>
      </c>
      <c r="X41" s="147">
        <f t="shared" si="12"/>
        <v>14186</v>
      </c>
      <c r="Y41" s="147">
        <f t="shared" si="12"/>
        <v>21376</v>
      </c>
      <c r="Z41" s="147">
        <f>SUM(Z36:Z40)</f>
        <v>8745.518</v>
      </c>
      <c r="AA41" s="147">
        <f>SUM(AA36:AA40)</f>
        <v>663</v>
      </c>
      <c r="AB41" s="147">
        <f>SUM(AB36:AB40)</f>
        <v>16649</v>
      </c>
      <c r="AC41" s="147">
        <f t="shared" si="12"/>
        <v>1111</v>
      </c>
      <c r="AD41" s="147">
        <f>SUM(AD36:AD40)</f>
        <v>2137.7</v>
      </c>
      <c r="AE41" s="147">
        <f t="shared" si="12"/>
        <v>14650</v>
      </c>
      <c r="AF41" s="147">
        <f t="shared" si="12"/>
        <v>5211.464</v>
      </c>
      <c r="AG41" s="147">
        <f>SUM(AG36:AG40)</f>
        <v>32172</v>
      </c>
      <c r="AH41" s="147">
        <f t="shared" si="12"/>
        <v>2153</v>
      </c>
      <c r="AI41" s="147">
        <f t="shared" si="12"/>
        <v>5105</v>
      </c>
      <c r="AJ41" s="147">
        <f t="shared" si="12"/>
        <v>551</v>
      </c>
      <c r="AK41" s="147">
        <f t="shared" si="12"/>
        <v>5916</v>
      </c>
      <c r="AL41" s="147">
        <f t="shared" si="12"/>
        <v>3309</v>
      </c>
      <c r="AM41" s="147">
        <f t="shared" si="12"/>
        <v>2174</v>
      </c>
      <c r="AN41" s="147">
        <f>SUM(AN36:AN40)</f>
        <v>23</v>
      </c>
      <c r="AO41" s="147">
        <f t="shared" si="12"/>
        <v>2479</v>
      </c>
      <c r="AP41" s="147">
        <f aca="true" t="shared" si="13" ref="AP41:BC41">SUM(AP36:AP40)</f>
        <v>2883</v>
      </c>
      <c r="AQ41" s="147">
        <f t="shared" si="13"/>
        <v>873</v>
      </c>
      <c r="AR41" s="147">
        <f t="shared" si="13"/>
        <v>1277</v>
      </c>
      <c r="AS41" s="147">
        <f t="shared" si="13"/>
        <v>1361</v>
      </c>
      <c r="AT41" s="147">
        <f t="shared" si="13"/>
        <v>747.836</v>
      </c>
      <c r="AU41" s="147">
        <f t="shared" si="13"/>
        <v>185.043</v>
      </c>
      <c r="AV41" s="147">
        <f t="shared" si="13"/>
        <v>914</v>
      </c>
      <c r="AW41" s="147">
        <f t="shared" si="13"/>
        <v>563</v>
      </c>
      <c r="AX41" s="147">
        <f t="shared" si="13"/>
        <v>148</v>
      </c>
      <c r="AY41" s="147">
        <f t="shared" si="13"/>
        <v>56.488</v>
      </c>
      <c r="AZ41" s="147">
        <f t="shared" si="13"/>
        <v>1573</v>
      </c>
      <c r="BA41" s="147">
        <f t="shared" si="13"/>
        <v>0</v>
      </c>
      <c r="BB41" s="147">
        <f>SUM(BB36:BB40)</f>
        <v>0</v>
      </c>
      <c r="BC41" s="147">
        <f t="shared" si="13"/>
        <v>3157</v>
      </c>
      <c r="BE41" s="16">
        <f t="shared" si="9"/>
        <v>1387097.9199999997</v>
      </c>
      <c r="BF41" s="16"/>
      <c r="BG41" s="16">
        <f t="shared" si="10"/>
        <v>465858.488</v>
      </c>
      <c r="BH41" s="16">
        <f t="shared" si="11"/>
        <v>921239.432</v>
      </c>
      <c r="BI41" s="157"/>
    </row>
    <row r="42" spans="1:61" ht="11.25" customHeight="1">
      <c r="A42" s="154"/>
      <c r="B42" s="157"/>
      <c r="C42" s="224"/>
      <c r="D42" s="159"/>
      <c r="E42" s="159"/>
      <c r="F42" s="159"/>
      <c r="G42" s="159"/>
      <c r="H42" s="159"/>
      <c r="I42" s="159"/>
      <c r="J42" s="159"/>
      <c r="K42" s="159"/>
      <c r="L42" s="157"/>
      <c r="P42" s="159"/>
      <c r="Q42" s="159"/>
      <c r="R42" s="158"/>
      <c r="S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G42" s="159"/>
      <c r="AH42" s="158"/>
      <c r="AI42" s="159"/>
      <c r="AJ42" s="159"/>
      <c r="AK42" s="159"/>
      <c r="AL42" s="159"/>
      <c r="AM42" s="168"/>
      <c r="AN42" s="159"/>
      <c r="AO42" s="168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E42" s="16"/>
      <c r="BF42" s="16"/>
      <c r="BG42" s="16"/>
      <c r="BH42" s="16"/>
      <c r="BI42" s="157"/>
    </row>
    <row r="43" spans="1:61" ht="11.25" customHeight="1" hidden="1" outlineLevel="1">
      <c r="A43" s="154" t="s">
        <v>294</v>
      </c>
      <c r="C43" s="224"/>
      <c r="D43" s="159"/>
      <c r="E43" s="159"/>
      <c r="F43" s="159"/>
      <c r="G43" s="159"/>
      <c r="H43" s="159"/>
      <c r="I43" s="159"/>
      <c r="J43" s="159"/>
      <c r="K43" s="159"/>
      <c r="L43" s="157"/>
      <c r="P43" s="159"/>
      <c r="Q43" s="159"/>
      <c r="R43" s="158"/>
      <c r="S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G43" s="159"/>
      <c r="AH43" s="158"/>
      <c r="AI43" s="159"/>
      <c r="AJ43" s="159"/>
      <c r="AK43" s="159"/>
      <c r="AL43" s="159"/>
      <c r="AM43" s="168"/>
      <c r="AN43" s="159"/>
      <c r="AO43" s="168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E43" s="16"/>
      <c r="BF43" s="16"/>
      <c r="BG43" s="16"/>
      <c r="BH43" s="16"/>
      <c r="BI43" s="157"/>
    </row>
    <row r="44" spans="1:61" ht="11.25" customHeight="1" hidden="1" outlineLevel="1">
      <c r="A44" s="155" t="s">
        <v>288</v>
      </c>
      <c r="B44" s="157">
        <v>159058</v>
      </c>
      <c r="C44" s="226">
        <v>40395.5</v>
      </c>
      <c r="D44" s="156">
        <v>155622</v>
      </c>
      <c r="E44" s="156">
        <v>120324.918</v>
      </c>
      <c r="F44" s="156">
        <v>66350</v>
      </c>
      <c r="G44" s="156">
        <v>45258</v>
      </c>
      <c r="H44" s="156">
        <v>2273</v>
      </c>
      <c r="I44" s="156">
        <v>23465</v>
      </c>
      <c r="J44" s="156">
        <v>9052</v>
      </c>
      <c r="K44" s="156">
        <v>53534</v>
      </c>
      <c r="L44" s="157">
        <v>9525</v>
      </c>
      <c r="M44" s="157">
        <v>40929</v>
      </c>
      <c r="N44" s="157">
        <v>29177</v>
      </c>
      <c r="O44" s="157">
        <v>8052</v>
      </c>
      <c r="P44" s="156">
        <v>43586</v>
      </c>
      <c r="Q44" s="156">
        <v>0</v>
      </c>
      <c r="R44" s="156">
        <v>15117</v>
      </c>
      <c r="S44" s="156">
        <v>25377</v>
      </c>
      <c r="T44" s="157">
        <v>43840</v>
      </c>
      <c r="U44" s="156">
        <v>32252</v>
      </c>
      <c r="V44" s="156">
        <v>17603</v>
      </c>
      <c r="W44" s="156">
        <v>36979</v>
      </c>
      <c r="X44" s="156">
        <v>21920</v>
      </c>
      <c r="Y44" s="156">
        <v>24018</v>
      </c>
      <c r="Z44" s="156">
        <v>40712.652</v>
      </c>
      <c r="AA44" s="156">
        <v>3087</v>
      </c>
      <c r="AB44" s="156">
        <v>15353</v>
      </c>
      <c r="AC44" s="156">
        <v>40083.656</v>
      </c>
      <c r="AD44" s="156">
        <v>5340.655</v>
      </c>
      <c r="AE44" s="79">
        <v>7704</v>
      </c>
      <c r="AF44" s="157">
        <v>2244.677</v>
      </c>
      <c r="AG44" s="156">
        <v>17809</v>
      </c>
      <c r="AH44" s="156">
        <v>1474</v>
      </c>
      <c r="AI44" s="156">
        <v>7456</v>
      </c>
      <c r="AJ44" s="156">
        <v>863</v>
      </c>
      <c r="AK44" s="156">
        <v>4230</v>
      </c>
      <c r="AL44" s="156">
        <v>4628</v>
      </c>
      <c r="AM44" s="157">
        <v>976</v>
      </c>
      <c r="AN44" s="156">
        <v>926</v>
      </c>
      <c r="AO44" s="157">
        <v>2304</v>
      </c>
      <c r="AP44" s="157">
        <v>6453.63</v>
      </c>
      <c r="AQ44" s="156">
        <v>559</v>
      </c>
      <c r="AR44" s="156">
        <v>4371</v>
      </c>
      <c r="AS44" s="156">
        <v>1728</v>
      </c>
      <c r="AT44" s="156">
        <v>992.072</v>
      </c>
      <c r="AU44" s="156">
        <v>394.17</v>
      </c>
      <c r="AV44" s="156">
        <v>2527</v>
      </c>
      <c r="AW44" s="156">
        <v>1245</v>
      </c>
      <c r="AX44" s="156">
        <v>247</v>
      </c>
      <c r="AY44" s="156">
        <f>2545365/1000</f>
        <v>2545.365</v>
      </c>
      <c r="AZ44" s="156">
        <v>1573</v>
      </c>
      <c r="BA44" s="156">
        <v>590</v>
      </c>
      <c r="BB44" s="157">
        <v>0</v>
      </c>
      <c r="BC44" s="157">
        <v>291</v>
      </c>
      <c r="BE44" s="16">
        <f>SUM(B44:BC44)</f>
        <v>1202415.2949999997</v>
      </c>
      <c r="BF44" s="16"/>
      <c r="BG44" s="16">
        <f>+B44+AC44+AH44+AJ44+AO44+AP44+AR44+AS44+AV44+AY44+AZ44+BA44+BC44+V44</f>
        <v>241464.651</v>
      </c>
      <c r="BH44" s="16">
        <f>+C44+D44+E44+F44+G44+H44+I44+J44+K44+L44+M44+N44+O44+P44+Q44+R44+S44+T44+U44+W44+X44+Y44+Z44+AA44+AB44+AD44+AE44+AF44+AG44+AI44+AK44+AL44+AM44+AN44+AQ44+AT44+AU44+AW44+AX44+BB44</f>
        <v>960950.6440000002</v>
      </c>
      <c r="BI44" s="157"/>
    </row>
    <row r="45" spans="1:61" ht="11.25" customHeight="1" hidden="1" outlineLevel="1">
      <c r="A45" s="155" t="s">
        <v>295</v>
      </c>
      <c r="B45" s="147">
        <v>4306</v>
      </c>
      <c r="C45" s="226">
        <v>4305.8</v>
      </c>
      <c r="D45" s="156">
        <v>0</v>
      </c>
      <c r="E45" s="156">
        <v>0</v>
      </c>
      <c r="F45" s="156">
        <v>13306</v>
      </c>
      <c r="G45" s="156">
        <v>41150</v>
      </c>
      <c r="H45" s="156">
        <v>0</v>
      </c>
      <c r="I45" s="156">
        <v>29758</v>
      </c>
      <c r="J45" s="156">
        <v>0</v>
      </c>
      <c r="K45" s="156">
        <v>0</v>
      </c>
      <c r="L45" s="156">
        <v>0</v>
      </c>
      <c r="M45" s="157">
        <v>0</v>
      </c>
      <c r="N45" s="157">
        <v>0</v>
      </c>
      <c r="O45" s="157">
        <v>0</v>
      </c>
      <c r="P45" s="156">
        <v>-20486</v>
      </c>
      <c r="Q45" s="156">
        <v>13948</v>
      </c>
      <c r="R45" s="156">
        <v>0</v>
      </c>
      <c r="S45" s="156">
        <v>0</v>
      </c>
      <c r="T45" s="157">
        <v>0</v>
      </c>
      <c r="U45" s="156">
        <v>0</v>
      </c>
      <c r="V45" s="156">
        <v>957</v>
      </c>
      <c r="W45" s="156">
        <v>0</v>
      </c>
      <c r="X45" s="156">
        <v>0</v>
      </c>
      <c r="Y45" s="156">
        <v>3392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7">
        <v>0</v>
      </c>
      <c r="AG45" s="156">
        <v>0</v>
      </c>
      <c r="AH45" s="156">
        <v>1126</v>
      </c>
      <c r="AI45" s="156">
        <v>0</v>
      </c>
      <c r="AJ45" s="156">
        <v>0</v>
      </c>
      <c r="AK45" s="156">
        <v>0</v>
      </c>
      <c r="AL45" s="156">
        <v>0</v>
      </c>
      <c r="AM45" s="157">
        <v>0</v>
      </c>
      <c r="AN45" s="156">
        <v>0</v>
      </c>
      <c r="AO45" s="157">
        <v>6020</v>
      </c>
      <c r="AP45" s="157">
        <v>387</v>
      </c>
      <c r="AQ45" s="156">
        <v>1667</v>
      </c>
      <c r="AR45" s="156">
        <v>0</v>
      </c>
      <c r="AS45" s="156">
        <v>0</v>
      </c>
      <c r="AT45" s="156">
        <v>0</v>
      </c>
      <c r="AU45" s="156">
        <v>1314.171</v>
      </c>
      <c r="AV45" s="156">
        <v>0</v>
      </c>
      <c r="AW45" s="156">
        <v>0</v>
      </c>
      <c r="AX45" s="156">
        <v>0</v>
      </c>
      <c r="AY45" s="156">
        <v>0</v>
      </c>
      <c r="AZ45" s="156">
        <v>0</v>
      </c>
      <c r="BA45" s="156">
        <v>1863</v>
      </c>
      <c r="BB45" s="157">
        <v>220</v>
      </c>
      <c r="BC45" s="157">
        <v>370</v>
      </c>
      <c r="BE45" s="16">
        <f>SUM(B45:BC45)</f>
        <v>103603.971</v>
      </c>
      <c r="BF45" s="16"/>
      <c r="BG45" s="16">
        <f>+B45+AC45+AH45+AJ45+AO45+AP45+AR45+AS45+AV45+AY45+AZ45+BA45+BC45+V45</f>
        <v>15029</v>
      </c>
      <c r="BH45" s="16">
        <f>+C45+D45+E45+F45+G45+H45+I45+J45+K45+L45+M45+N45+O45+P45+Q45+R45+S45+T45+U45+W45+X45+Y45+Z45+AA45+AB45+AD45+AE45+AF45+AG45+AI45+AK45+AL45+AM45+AN45+AQ45+AT45+AU45+AW45+AX45+BB45</f>
        <v>88574.971</v>
      </c>
      <c r="BI45" s="157"/>
    </row>
    <row r="46" spans="1:61" ht="11.25" customHeight="1" collapsed="1">
      <c r="A46" s="154" t="s">
        <v>294</v>
      </c>
      <c r="B46" s="147">
        <f aca="true" t="shared" si="14" ref="B46:AO46">SUM(B44:B45)</f>
        <v>163364</v>
      </c>
      <c r="C46" s="147">
        <f t="shared" si="14"/>
        <v>44701.3</v>
      </c>
      <c r="D46" s="147">
        <f t="shared" si="14"/>
        <v>155622</v>
      </c>
      <c r="E46" s="147">
        <f t="shared" si="14"/>
        <v>120324.918</v>
      </c>
      <c r="F46" s="147">
        <f t="shared" si="14"/>
        <v>79656</v>
      </c>
      <c r="G46" s="147">
        <f t="shared" si="14"/>
        <v>86408</v>
      </c>
      <c r="H46" s="147">
        <f t="shared" si="14"/>
        <v>2273</v>
      </c>
      <c r="I46" s="147">
        <f t="shared" si="14"/>
        <v>53223</v>
      </c>
      <c r="J46" s="147">
        <f>SUM(J44:J45)</f>
        <v>9052</v>
      </c>
      <c r="K46" s="147">
        <f t="shared" si="14"/>
        <v>53534</v>
      </c>
      <c r="L46" s="147">
        <f t="shared" si="14"/>
        <v>9525</v>
      </c>
      <c r="M46" s="147">
        <f t="shared" si="14"/>
        <v>40929</v>
      </c>
      <c r="N46" s="147">
        <f t="shared" si="14"/>
        <v>29177</v>
      </c>
      <c r="O46" s="147">
        <f t="shared" si="14"/>
        <v>8052</v>
      </c>
      <c r="P46" s="147">
        <f t="shared" si="14"/>
        <v>23100</v>
      </c>
      <c r="Q46" s="147">
        <f t="shared" si="14"/>
        <v>13948</v>
      </c>
      <c r="R46" s="147">
        <f>SUM(R44:R45)</f>
        <v>15117</v>
      </c>
      <c r="S46" s="147">
        <f t="shared" si="14"/>
        <v>25377</v>
      </c>
      <c r="T46" s="147">
        <f t="shared" si="14"/>
        <v>43840</v>
      </c>
      <c r="U46" s="147">
        <f t="shared" si="14"/>
        <v>32252</v>
      </c>
      <c r="V46" s="147">
        <f>SUM(V44:V45)</f>
        <v>18560</v>
      </c>
      <c r="W46" s="147">
        <f t="shared" si="14"/>
        <v>36979</v>
      </c>
      <c r="X46" s="147">
        <f t="shared" si="14"/>
        <v>21920</v>
      </c>
      <c r="Y46" s="147">
        <f t="shared" si="14"/>
        <v>27410</v>
      </c>
      <c r="Z46" s="147">
        <f>SUM(Z44:Z45)</f>
        <v>40712.652</v>
      </c>
      <c r="AA46" s="147">
        <f>SUM(AA44:AA45)</f>
        <v>3087</v>
      </c>
      <c r="AB46" s="147">
        <f>SUM(AB44:AB45)</f>
        <v>15353</v>
      </c>
      <c r="AC46" s="147">
        <f t="shared" si="14"/>
        <v>40083.656</v>
      </c>
      <c r="AD46" s="147">
        <f>SUM(AD44:AD45)</f>
        <v>5340.655</v>
      </c>
      <c r="AE46" s="147">
        <f t="shared" si="14"/>
        <v>7704</v>
      </c>
      <c r="AF46" s="147">
        <f t="shared" si="14"/>
        <v>2244.677</v>
      </c>
      <c r="AG46" s="147">
        <f>SUM(AG44:AG45)</f>
        <v>17809</v>
      </c>
      <c r="AH46" s="147">
        <f t="shared" si="14"/>
        <v>2600</v>
      </c>
      <c r="AI46" s="147">
        <f t="shared" si="14"/>
        <v>7456</v>
      </c>
      <c r="AJ46" s="147">
        <f t="shared" si="14"/>
        <v>863</v>
      </c>
      <c r="AK46" s="147">
        <f t="shared" si="14"/>
        <v>4230</v>
      </c>
      <c r="AL46" s="147">
        <f t="shared" si="14"/>
        <v>4628</v>
      </c>
      <c r="AM46" s="147">
        <f t="shared" si="14"/>
        <v>976</v>
      </c>
      <c r="AN46" s="147">
        <f>SUM(AN44:AN45)</f>
        <v>926</v>
      </c>
      <c r="AO46" s="147">
        <f t="shared" si="14"/>
        <v>8324</v>
      </c>
      <c r="AP46" s="147">
        <f aca="true" t="shared" si="15" ref="AP46:BC46">SUM(AP44:AP45)</f>
        <v>6840.63</v>
      </c>
      <c r="AQ46" s="147">
        <f t="shared" si="15"/>
        <v>2226</v>
      </c>
      <c r="AR46" s="147">
        <f t="shared" si="15"/>
        <v>4371</v>
      </c>
      <c r="AS46" s="147">
        <f t="shared" si="15"/>
        <v>1728</v>
      </c>
      <c r="AT46" s="147">
        <f t="shared" si="15"/>
        <v>992.072</v>
      </c>
      <c r="AU46" s="147">
        <f t="shared" si="15"/>
        <v>1708.3410000000001</v>
      </c>
      <c r="AV46" s="147">
        <f t="shared" si="15"/>
        <v>2527</v>
      </c>
      <c r="AW46" s="147">
        <f t="shared" si="15"/>
        <v>1245</v>
      </c>
      <c r="AX46" s="147">
        <f t="shared" si="15"/>
        <v>247</v>
      </c>
      <c r="AY46" s="147">
        <f t="shared" si="15"/>
        <v>2545.365</v>
      </c>
      <c r="AZ46" s="147">
        <f t="shared" si="15"/>
        <v>1573</v>
      </c>
      <c r="BA46" s="147">
        <f t="shared" si="15"/>
        <v>2453</v>
      </c>
      <c r="BB46" s="147">
        <f>SUM(BB44:BB45)</f>
        <v>220</v>
      </c>
      <c r="BC46" s="147">
        <f t="shared" si="15"/>
        <v>661</v>
      </c>
      <c r="BE46" s="16">
        <f>SUM(B46:BC46)</f>
        <v>1306019.2659999996</v>
      </c>
      <c r="BF46" s="16"/>
      <c r="BG46" s="16">
        <f>+B46+AC46+AH46+AJ46+AO46+AP46+AR46+AS46+AV46+AY46+AZ46+BA46+BC46+V46</f>
        <v>256493.651</v>
      </c>
      <c r="BH46" s="16">
        <f>+C46+D46+E46+F46+G46+H46+I46+J46+K46+L46+M46+N46+O46+P46+Q46+R46+S46+T46+U46+W46+X46+Y46+Z46+AA46+AB46+AD46+AE46+AF46+AG46+AI46+AK46+AL46+AM46+AN46+AQ46+AT46+AU46+AW46+AX46+BB46</f>
        <v>1049525.6150000002</v>
      </c>
      <c r="BI46" s="157"/>
    </row>
    <row r="47" spans="1:61" ht="11.25" customHeight="1">
      <c r="A47" s="155"/>
      <c r="C47" s="227"/>
      <c r="D47" s="159"/>
      <c r="E47" s="159"/>
      <c r="F47" s="159"/>
      <c r="G47" s="159"/>
      <c r="H47" s="159"/>
      <c r="I47" s="159"/>
      <c r="J47" s="159"/>
      <c r="K47" s="159"/>
      <c r="L47" s="157"/>
      <c r="P47" s="159"/>
      <c r="Q47" s="159"/>
      <c r="R47" s="158"/>
      <c r="S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G47" s="159"/>
      <c r="AH47" s="158"/>
      <c r="AI47" s="159"/>
      <c r="AJ47" s="159"/>
      <c r="AK47" s="159"/>
      <c r="AL47" s="159"/>
      <c r="AM47" s="168"/>
      <c r="AN47" s="159"/>
      <c r="AO47" s="168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E47" s="16"/>
      <c r="BF47" s="16"/>
      <c r="BG47" s="16"/>
      <c r="BH47" s="16"/>
      <c r="BI47" s="157"/>
    </row>
    <row r="48" spans="1:61" ht="11.25" customHeight="1">
      <c r="A48" s="154" t="s">
        <v>297</v>
      </c>
      <c r="B48" s="16">
        <v>0</v>
      </c>
      <c r="C48" s="16">
        <v>0</v>
      </c>
      <c r="D48" s="16">
        <v>53128</v>
      </c>
      <c r="E48" s="16">
        <v>25978</v>
      </c>
      <c r="F48" s="16">
        <v>0</v>
      </c>
      <c r="G48" s="16">
        <v>0</v>
      </c>
      <c r="H48" s="16">
        <v>0</v>
      </c>
      <c r="I48" s="16">
        <v>0</v>
      </c>
      <c r="J48" s="157">
        <v>0</v>
      </c>
      <c r="K48" s="16">
        <v>0</v>
      </c>
      <c r="L48" s="157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56">
        <v>1896</v>
      </c>
      <c r="V48" s="16">
        <v>0</v>
      </c>
      <c r="W48" s="16">
        <v>4952</v>
      </c>
      <c r="X48" s="16">
        <v>0</v>
      </c>
      <c r="Y48" s="16">
        <v>0</v>
      </c>
      <c r="Z48" s="291">
        <v>0</v>
      </c>
      <c r="AA48" s="16">
        <v>0</v>
      </c>
      <c r="AB48" s="16">
        <v>36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1416</v>
      </c>
      <c r="AL48" s="16">
        <v>0</v>
      </c>
      <c r="AM48" s="16">
        <v>0</v>
      </c>
      <c r="AN48" s="16">
        <v>0</v>
      </c>
      <c r="AO48" s="16">
        <v>10802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E48" s="16">
        <f>SUM(B48:BC48)</f>
        <v>98208</v>
      </c>
      <c r="BF48" s="16"/>
      <c r="BG48" s="16">
        <f>+B48+AC48+AH48+AJ48+AO48+AP48+AR48+AS48+AV48+AY48+AZ48+BA48+BC48+V48</f>
        <v>10802</v>
      </c>
      <c r="BH48" s="16">
        <f>+C48+D48+E48+F48+G48+H48+I48+J48+K48+L48+M48+N48+O48+P48+Q48+R48+S48+T48+U48+W48+X48+Y48+Z48+AA48+AB48+AD48+AE48+AF48+AG48+AI48+AK48+AL48+AM48+AN48+AQ48+AT48+AU48+AW48+AX48+BB48</f>
        <v>87406</v>
      </c>
      <c r="BI48" s="157"/>
    </row>
    <row r="49" spans="1:61" ht="8.25" customHeight="1">
      <c r="A49" s="155"/>
      <c r="D49" s="159"/>
      <c r="E49" s="159"/>
      <c r="F49" s="159"/>
      <c r="G49" s="159"/>
      <c r="H49" s="159"/>
      <c r="I49" s="159"/>
      <c r="J49" s="159"/>
      <c r="K49" s="159"/>
      <c r="L49" s="157"/>
      <c r="P49" s="159"/>
      <c r="Q49" s="159"/>
      <c r="R49" s="158"/>
      <c r="S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G49" s="159"/>
      <c r="AH49" s="158"/>
      <c r="AI49" s="159"/>
      <c r="AJ49" s="159"/>
      <c r="AK49" s="159"/>
      <c r="AL49" s="159"/>
      <c r="AM49" s="168"/>
      <c r="AN49" s="159"/>
      <c r="AO49" s="168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E49" s="16"/>
      <c r="BF49" s="16"/>
      <c r="BG49" s="16"/>
      <c r="BH49" s="16"/>
      <c r="BI49" s="157"/>
    </row>
    <row r="50" spans="1:61" ht="11.25" customHeight="1" hidden="1" outlineLevel="1">
      <c r="A50" s="154" t="s">
        <v>298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57">
        <v>0</v>
      </c>
      <c r="K50" s="16">
        <v>0</v>
      </c>
      <c r="L50" s="157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E50" s="16">
        <f>SUM(B50:BC50)</f>
        <v>0</v>
      </c>
      <c r="BF50" s="16"/>
      <c r="BG50" s="16">
        <f>+B50+AC50+AH50+AJ50+AO50+AP50+AR50+AS50+AV50+AY50+AZ50+BA50+BC50+V50</f>
        <v>0</v>
      </c>
      <c r="BH50" s="16">
        <f>+C50+D50+E50+F50+G50+H50+I50+J50+K50+L50+M50+N50+O50+P50+Q50+R50+S50+T50+U50+W50+X50+Y50+Z50+AA50+AB50+AD50+AE50+AF50+AG50+AI50+AK50+AL50+AM50+AN50+AQ50+AT50+AU50+AW50+AX50+BB50</f>
        <v>0</v>
      </c>
      <c r="BI50" s="157"/>
    </row>
    <row r="51" spans="1:61" ht="11.25" customHeight="1" hidden="1" outlineLevel="1">
      <c r="A51" s="155"/>
      <c r="D51" s="159"/>
      <c r="E51" s="159"/>
      <c r="F51" s="159"/>
      <c r="G51" s="159"/>
      <c r="H51" s="159"/>
      <c r="I51" s="159"/>
      <c r="J51" s="159"/>
      <c r="K51" s="159"/>
      <c r="L51" s="157"/>
      <c r="P51" s="159"/>
      <c r="Q51" s="159"/>
      <c r="R51" s="158"/>
      <c r="S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G51" s="159"/>
      <c r="AH51" s="158"/>
      <c r="AI51" s="159"/>
      <c r="AJ51" s="159"/>
      <c r="AK51" s="159"/>
      <c r="AL51" s="159"/>
      <c r="AM51" s="168"/>
      <c r="AN51" s="159"/>
      <c r="AO51" s="168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E51" s="16"/>
      <c r="BF51" s="16"/>
      <c r="BG51" s="16"/>
      <c r="BH51" s="16"/>
      <c r="BI51" s="157"/>
    </row>
    <row r="52" spans="1:61" ht="11.25" customHeight="1" collapsed="1">
      <c r="A52" s="154" t="s">
        <v>299</v>
      </c>
      <c r="D52" s="159"/>
      <c r="E52" s="159"/>
      <c r="F52" s="159"/>
      <c r="G52" s="159"/>
      <c r="H52" s="159"/>
      <c r="I52" s="159"/>
      <c r="J52" s="159"/>
      <c r="K52" s="159"/>
      <c r="L52" s="157"/>
      <c r="P52" s="159"/>
      <c r="Q52" s="159"/>
      <c r="R52" s="158"/>
      <c r="S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G52" s="159"/>
      <c r="AH52" s="158"/>
      <c r="AI52" s="159"/>
      <c r="AJ52" s="159"/>
      <c r="AK52" s="159"/>
      <c r="AL52" s="159"/>
      <c r="AM52" s="168"/>
      <c r="AN52" s="159"/>
      <c r="AO52" s="168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E52" s="16"/>
      <c r="BF52" s="16"/>
      <c r="BG52" s="16"/>
      <c r="BH52" s="16"/>
      <c r="BI52" s="157"/>
    </row>
    <row r="53" spans="1:61" ht="11.25" customHeight="1">
      <c r="A53" s="154" t="s">
        <v>300</v>
      </c>
      <c r="B53" s="16">
        <f aca="true" t="shared" si="16" ref="B53:AE53">+B14-B21+B33-B41-B46+B48-B50</f>
        <v>19888204</v>
      </c>
      <c r="C53" s="16">
        <f t="shared" si="16"/>
        <v>13044955.7</v>
      </c>
      <c r="D53" s="16">
        <f t="shared" si="16"/>
        <v>26003427</v>
      </c>
      <c r="E53" s="16">
        <f t="shared" si="16"/>
        <v>12793111.213000001</v>
      </c>
      <c r="F53" s="16">
        <f t="shared" si="16"/>
        <v>12143179</v>
      </c>
      <c r="G53" s="16">
        <f t="shared" si="16"/>
        <v>6264056</v>
      </c>
      <c r="H53" s="16">
        <f t="shared" si="16"/>
        <v>629268</v>
      </c>
      <c r="I53" s="16">
        <f t="shared" si="16"/>
        <v>6285096</v>
      </c>
      <c r="J53" s="16">
        <f>+J14-J21+J33-J41-J46+J48-J50</f>
        <v>1490489</v>
      </c>
      <c r="K53" s="16">
        <f t="shared" si="16"/>
        <v>5390259</v>
      </c>
      <c r="L53" s="16">
        <f t="shared" si="16"/>
        <v>1722164</v>
      </c>
      <c r="M53" s="16">
        <f t="shared" si="16"/>
        <v>4235182</v>
      </c>
      <c r="N53" s="16">
        <f t="shared" si="16"/>
        <v>1803515</v>
      </c>
      <c r="O53" s="16">
        <f t="shared" si="16"/>
        <v>1294539</v>
      </c>
      <c r="P53" s="16">
        <f t="shared" si="16"/>
        <v>3002729</v>
      </c>
      <c r="Q53" s="16">
        <f t="shared" si="16"/>
        <v>668176</v>
      </c>
      <c r="R53" s="16">
        <f>+R14-R21+R33-R41-R46+R48-R50</f>
        <v>3060491.8</v>
      </c>
      <c r="S53" s="16">
        <f t="shared" si="16"/>
        <v>2649672</v>
      </c>
      <c r="T53" s="16">
        <f t="shared" si="16"/>
        <v>2572077.7550000004</v>
      </c>
      <c r="U53" s="16">
        <f t="shared" si="16"/>
        <v>2614337</v>
      </c>
      <c r="V53" s="16">
        <f>+V14-V21+V33-V41-V46+V48-V50</f>
        <v>2582334</v>
      </c>
      <c r="W53" s="16">
        <f t="shared" si="16"/>
        <v>1715930</v>
      </c>
      <c r="X53" s="16">
        <f t="shared" si="16"/>
        <v>2105083</v>
      </c>
      <c r="Y53" s="16">
        <f t="shared" si="16"/>
        <v>1197464</v>
      </c>
      <c r="Z53" s="16">
        <f>+Z14-Z21+Z33-Z41-Z46+Z48-Z50</f>
        <v>2942999.757</v>
      </c>
      <c r="AA53" s="16">
        <f>+AA14-AA21+AA33-AA41-AA46+AA48-AA50</f>
        <v>214237.81000000003</v>
      </c>
      <c r="AB53" s="16">
        <f>+AB14-AB21+AB33-AB41-AB46+AB48-AB50</f>
        <v>1686997</v>
      </c>
      <c r="AC53" s="16">
        <f t="shared" si="16"/>
        <v>914766.0530000001</v>
      </c>
      <c r="AD53" s="16">
        <f>+AD14-AD21+AD33-AD41-AD46+AD48-AD50</f>
        <v>336067.844</v>
      </c>
      <c r="AE53" s="16">
        <f t="shared" si="16"/>
        <v>1166461</v>
      </c>
      <c r="AF53" s="16">
        <f aca="true" t="shared" si="17" ref="AF53:AO53">+AF14-AF21+AF33-AF41-AF46+AF48-AF50</f>
        <v>1568591.1390000002</v>
      </c>
      <c r="AG53" s="16">
        <f>+AG14-AG21+AG33-AG41-AG46+AG48-AG50</f>
        <v>916525</v>
      </c>
      <c r="AH53" s="16">
        <f t="shared" si="17"/>
        <v>848118</v>
      </c>
      <c r="AI53" s="16">
        <f t="shared" si="17"/>
        <v>398769</v>
      </c>
      <c r="AJ53" s="16">
        <f t="shared" si="17"/>
        <v>-7536</v>
      </c>
      <c r="AK53" s="16">
        <f t="shared" si="17"/>
        <v>288261</v>
      </c>
      <c r="AL53" s="16">
        <f t="shared" si="17"/>
        <v>263209</v>
      </c>
      <c r="AM53" s="16">
        <f t="shared" si="17"/>
        <v>167815</v>
      </c>
      <c r="AN53" s="16">
        <f>+AN14-AN21+AN33-AN41-AN46+AN48-AN50</f>
        <v>54961</v>
      </c>
      <c r="AO53" s="16">
        <f t="shared" si="17"/>
        <v>146324</v>
      </c>
      <c r="AP53" s="16">
        <f aca="true" t="shared" si="18" ref="AP53:BC53">+AP14-AP21+AP33-AP41-AP46+AP48-AP50</f>
        <v>149989.37</v>
      </c>
      <c r="AQ53" s="16">
        <f t="shared" si="18"/>
        <v>111901</v>
      </c>
      <c r="AR53" s="16">
        <f t="shared" si="18"/>
        <v>123251</v>
      </c>
      <c r="AS53" s="16">
        <f t="shared" si="18"/>
        <v>61248</v>
      </c>
      <c r="AT53" s="16">
        <f t="shared" si="18"/>
        <v>37229.37</v>
      </c>
      <c r="AU53" s="16">
        <f t="shared" si="18"/>
        <v>18882.005999999998</v>
      </c>
      <c r="AV53" s="16">
        <f t="shared" si="18"/>
        <v>57610</v>
      </c>
      <c r="AW53" s="16">
        <f t="shared" si="18"/>
        <v>16122</v>
      </c>
      <c r="AX53" s="16">
        <f t="shared" si="18"/>
        <v>6068</v>
      </c>
      <c r="AY53" s="16">
        <f t="shared" si="18"/>
        <v>33105.49</v>
      </c>
      <c r="AZ53" s="16">
        <f t="shared" si="18"/>
        <v>14854</v>
      </c>
      <c r="BA53" s="16">
        <f t="shared" si="18"/>
        <v>-9234</v>
      </c>
      <c r="BB53" s="16">
        <f>+BB14-BB21+BB33-BB41-BB46+BB48-BB50</f>
        <v>-376</v>
      </c>
      <c r="BC53" s="16">
        <f t="shared" si="18"/>
        <v>-30291</v>
      </c>
      <c r="BE53" s="16">
        <f>SUM(B53:BC53)</f>
        <v>147652665.30700004</v>
      </c>
      <c r="BF53" s="16"/>
      <c r="BG53" s="16">
        <f>+B53+AC53+AH53+AJ53+AO53+AP53+AR53+AS53+AV53+AY53+AZ53+BA53+BC53+V53</f>
        <v>24772742.913</v>
      </c>
      <c r="BH53" s="16">
        <f>+C53+D53+E53+F53+G53+H53+I53+J53+K53+L53+M53+N53+O53+P53+Q53+R53+S53+T53+U53+W53+X53+Y53+Z53+AA53+AB53+AD53+AE53+AF53+AG53+AI53+AK53+AL53+AM53+AN53+AQ53+AT53+AU53+AW53+AX53+BB53</f>
        <v>122879922.394</v>
      </c>
      <c r="BI53" s="157"/>
    </row>
    <row r="54" spans="1:61" ht="11.25" customHeight="1">
      <c r="A54" s="155"/>
      <c r="BE54" s="16"/>
      <c r="BF54" s="16"/>
      <c r="BG54" s="16"/>
      <c r="BH54" s="16"/>
      <c r="BI54" s="157"/>
    </row>
    <row r="55" spans="1:61" ht="11.25" customHeight="1" hidden="1" outlineLevel="1">
      <c r="A55" s="154" t="s">
        <v>301</v>
      </c>
      <c r="B55" s="147">
        <f aca="true" t="shared" si="19" ref="B55:K55">+B56-B57</f>
        <v>0</v>
      </c>
      <c r="C55" s="147">
        <f t="shared" si="19"/>
        <v>0</v>
      </c>
      <c r="D55" s="147">
        <f t="shared" si="19"/>
        <v>0</v>
      </c>
      <c r="E55" s="147">
        <f t="shared" si="19"/>
        <v>0</v>
      </c>
      <c r="F55" s="147">
        <f t="shared" si="19"/>
        <v>0</v>
      </c>
      <c r="G55" s="147">
        <f t="shared" si="19"/>
        <v>0</v>
      </c>
      <c r="H55" s="147">
        <f t="shared" si="19"/>
        <v>0</v>
      </c>
      <c r="I55" s="147">
        <f t="shared" si="19"/>
        <v>0</v>
      </c>
      <c r="J55" s="147">
        <f>+J56-J57</f>
        <v>0</v>
      </c>
      <c r="K55" s="147">
        <f t="shared" si="19"/>
        <v>0</v>
      </c>
      <c r="L55" s="147">
        <v>0</v>
      </c>
      <c r="M55" s="147">
        <f aca="true" t="shared" si="20" ref="M55:AO55">+M56-M57</f>
        <v>0</v>
      </c>
      <c r="N55" s="147">
        <f t="shared" si="20"/>
        <v>0</v>
      </c>
      <c r="O55" s="147">
        <f t="shared" si="20"/>
        <v>0</v>
      </c>
      <c r="P55" s="147">
        <f t="shared" si="20"/>
        <v>0</v>
      </c>
      <c r="Q55" s="147">
        <f t="shared" si="20"/>
        <v>0</v>
      </c>
      <c r="R55" s="147">
        <f>+R56-R57</f>
        <v>0</v>
      </c>
      <c r="S55" s="147">
        <f t="shared" si="20"/>
        <v>0</v>
      </c>
      <c r="T55" s="147">
        <f t="shared" si="20"/>
        <v>0</v>
      </c>
      <c r="U55" s="147">
        <f t="shared" si="20"/>
        <v>0</v>
      </c>
      <c r="V55" s="147">
        <f>+V56-V57</f>
        <v>0</v>
      </c>
      <c r="W55" s="147">
        <f t="shared" si="20"/>
        <v>0</v>
      </c>
      <c r="X55" s="147">
        <f t="shared" si="20"/>
        <v>0</v>
      </c>
      <c r="Y55" s="147">
        <f t="shared" si="20"/>
        <v>0</v>
      </c>
      <c r="Z55" s="147">
        <f>+Z56-Z57</f>
        <v>0</v>
      </c>
      <c r="AA55" s="147">
        <f>+AA56-AA57</f>
        <v>0</v>
      </c>
      <c r="AB55" s="147">
        <f>+AB56-AB57</f>
        <v>0</v>
      </c>
      <c r="AC55" s="147">
        <f t="shared" si="20"/>
        <v>0</v>
      </c>
      <c r="AD55" s="147">
        <f>+AD56-AD57</f>
        <v>0</v>
      </c>
      <c r="AE55" s="147">
        <f t="shared" si="20"/>
        <v>0</v>
      </c>
      <c r="AF55" s="16">
        <f t="shared" si="20"/>
        <v>0</v>
      </c>
      <c r="AG55" s="147">
        <f t="shared" si="20"/>
        <v>0</v>
      </c>
      <c r="AH55" s="147">
        <f t="shared" si="20"/>
        <v>0</v>
      </c>
      <c r="AI55" s="147">
        <f t="shared" si="20"/>
        <v>0</v>
      </c>
      <c r="AJ55" s="147">
        <f t="shared" si="20"/>
        <v>0</v>
      </c>
      <c r="AK55" s="147">
        <f t="shared" si="20"/>
        <v>0</v>
      </c>
      <c r="AL55" s="147">
        <f t="shared" si="20"/>
        <v>0</v>
      </c>
      <c r="AM55" s="147">
        <f t="shared" si="20"/>
        <v>0</v>
      </c>
      <c r="AN55" s="147">
        <v>0</v>
      </c>
      <c r="AO55" s="147">
        <f t="shared" si="20"/>
        <v>0</v>
      </c>
      <c r="AP55" s="147">
        <f aca="true" t="shared" si="21" ref="AP55:BC55">+AP56-AP57</f>
        <v>0</v>
      </c>
      <c r="AQ55" s="147">
        <f t="shared" si="21"/>
        <v>0</v>
      </c>
      <c r="AR55" s="147">
        <f t="shared" si="21"/>
        <v>0</v>
      </c>
      <c r="AS55" s="147">
        <f t="shared" si="21"/>
        <v>0</v>
      </c>
      <c r="AT55" s="147">
        <f t="shared" si="21"/>
        <v>0</v>
      </c>
      <c r="AU55" s="147">
        <f t="shared" si="21"/>
        <v>0</v>
      </c>
      <c r="AV55" s="147">
        <f t="shared" si="21"/>
        <v>0</v>
      </c>
      <c r="AW55" s="147">
        <f t="shared" si="21"/>
        <v>2528</v>
      </c>
      <c r="AX55" s="147">
        <f t="shared" si="21"/>
        <v>0</v>
      </c>
      <c r="AY55" s="147">
        <f t="shared" si="21"/>
        <v>0</v>
      </c>
      <c r="AZ55" s="147">
        <f t="shared" si="21"/>
        <v>0</v>
      </c>
      <c r="BA55" s="147">
        <f t="shared" si="21"/>
        <v>0</v>
      </c>
      <c r="BB55" s="147">
        <f>+BB56-BB57</f>
        <v>0</v>
      </c>
      <c r="BC55" s="147">
        <f t="shared" si="21"/>
        <v>0</v>
      </c>
      <c r="BE55" s="16">
        <f>SUM(B55:BC55)</f>
        <v>2528</v>
      </c>
      <c r="BF55" s="16"/>
      <c r="BG55" s="16">
        <f aca="true" t="shared" si="22" ref="BG55:BG61">+B55+AC55+AH55+AJ55+AO55+AP55+AR55+AS55+AV55+AY55+AZ55+BA55+BC55+V55</f>
        <v>0</v>
      </c>
      <c r="BH55" s="16">
        <f aca="true" t="shared" si="23" ref="BH55:BH61">+C55+D55+E55+F55+G55+H55+I55+J55+K55+L55+M55+N55+O55+P55+Q55+R55+S55+T55+U55+W55+X55+Y55+Z55+AA55+AB55+AD55+AE55+AF55+AG55+AI55+AK55+AL55+AM55+AN55+AQ55+AT55+AU55+AW55+AX55+BB55</f>
        <v>2528</v>
      </c>
      <c r="BI55" s="157"/>
    </row>
    <row r="56" spans="1:61" ht="11.25" customHeight="1" hidden="1" outlineLevel="1">
      <c r="A56" s="155" t="s">
        <v>302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57">
        <v>0</v>
      </c>
      <c r="K56" s="147">
        <v>0</v>
      </c>
      <c r="L56" s="157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2528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E56" s="16">
        <f>SUM(B56:BC56)</f>
        <v>2528</v>
      </c>
      <c r="BF56" s="16"/>
      <c r="BG56" s="16">
        <f t="shared" si="22"/>
        <v>0</v>
      </c>
      <c r="BH56" s="16">
        <f t="shared" si="23"/>
        <v>2528</v>
      </c>
      <c r="BI56" s="157"/>
    </row>
    <row r="57" spans="1:61" ht="11.25" customHeight="1" hidden="1" outlineLevel="1">
      <c r="A57" s="155" t="s">
        <v>303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57">
        <v>0</v>
      </c>
      <c r="K57" s="147">
        <v>0</v>
      </c>
      <c r="L57" s="157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E57" s="16">
        <f>SUM(B57:BC57)</f>
        <v>0</v>
      </c>
      <c r="BF57" s="16"/>
      <c r="BG57" s="16">
        <f t="shared" si="22"/>
        <v>0</v>
      </c>
      <c r="BH57" s="16">
        <f t="shared" si="23"/>
        <v>0</v>
      </c>
      <c r="BI57" s="157"/>
    </row>
    <row r="58" spans="1:61" ht="11.25" customHeight="1" hidden="1" outlineLevel="1">
      <c r="A58" s="154"/>
      <c r="D58" s="159"/>
      <c r="E58" s="159"/>
      <c r="F58" s="159"/>
      <c r="G58" s="159"/>
      <c r="H58" s="159"/>
      <c r="I58" s="159"/>
      <c r="J58" s="159"/>
      <c r="K58" s="159"/>
      <c r="L58" s="157"/>
      <c r="P58" s="159"/>
      <c r="Q58" s="159"/>
      <c r="R58" s="158"/>
      <c r="S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G58" s="159"/>
      <c r="AH58" s="158"/>
      <c r="AI58" s="159"/>
      <c r="AJ58" s="159"/>
      <c r="AK58" s="159"/>
      <c r="AL58" s="159"/>
      <c r="AM58" s="168"/>
      <c r="AN58" s="159"/>
      <c r="AO58" s="168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E58" s="16"/>
      <c r="BF58" s="16"/>
      <c r="BG58" s="16">
        <f t="shared" si="22"/>
        <v>0</v>
      </c>
      <c r="BH58" s="16">
        <f t="shared" si="23"/>
        <v>0</v>
      </c>
      <c r="BI58" s="157"/>
    </row>
    <row r="59" spans="1:61" ht="11.25" customHeight="1" hidden="1" outlineLevel="1">
      <c r="A59" s="154" t="s">
        <v>304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57">
        <v>0</v>
      </c>
      <c r="K59" s="16">
        <v>0</v>
      </c>
      <c r="L59" s="15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6">
        <v>0</v>
      </c>
      <c r="S59" s="147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E59" s="16">
        <f>SUM(B59:BC59)</f>
        <v>0</v>
      </c>
      <c r="BF59" s="16"/>
      <c r="BG59" s="16">
        <f t="shared" si="22"/>
        <v>0</v>
      </c>
      <c r="BH59" s="16">
        <f t="shared" si="23"/>
        <v>0</v>
      </c>
      <c r="BI59" s="157"/>
    </row>
    <row r="60" spans="1:61" ht="11.25" customHeight="1" hidden="1" outlineLevel="1">
      <c r="A60" s="154"/>
      <c r="D60" s="159"/>
      <c r="E60" s="159"/>
      <c r="F60" s="159"/>
      <c r="G60" s="159"/>
      <c r="H60" s="159"/>
      <c r="I60" s="159"/>
      <c r="J60" s="159"/>
      <c r="K60" s="159"/>
      <c r="L60" s="157"/>
      <c r="P60" s="159"/>
      <c r="Q60" s="159"/>
      <c r="R60" s="158"/>
      <c r="S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159"/>
      <c r="AH60" s="158"/>
      <c r="AI60" s="159"/>
      <c r="AJ60" s="159"/>
      <c r="AK60" s="159"/>
      <c r="AL60" s="159"/>
      <c r="AM60" s="168"/>
      <c r="AN60" s="159"/>
      <c r="AO60" s="168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E60" s="16"/>
      <c r="BF60" s="16"/>
      <c r="BG60" s="16">
        <f t="shared" si="22"/>
        <v>0</v>
      </c>
      <c r="BH60" s="16">
        <f t="shared" si="23"/>
        <v>0</v>
      </c>
      <c r="BI60" s="157"/>
    </row>
    <row r="61" spans="1:61" ht="11.25" customHeight="1" collapsed="1">
      <c r="A61" s="154" t="s">
        <v>305</v>
      </c>
      <c r="B61" s="16">
        <f aca="true" t="shared" si="24" ref="B61:AG61">+B53+B55+B59</f>
        <v>19888204</v>
      </c>
      <c r="C61" s="16">
        <f t="shared" si="24"/>
        <v>13044955.7</v>
      </c>
      <c r="D61" s="16">
        <f t="shared" si="24"/>
        <v>26003427</v>
      </c>
      <c r="E61" s="16">
        <f t="shared" si="24"/>
        <v>12793111.213000001</v>
      </c>
      <c r="F61" s="16">
        <f t="shared" si="24"/>
        <v>12143179</v>
      </c>
      <c r="G61" s="16">
        <f t="shared" si="24"/>
        <v>6264056</v>
      </c>
      <c r="H61" s="16">
        <f t="shared" si="24"/>
        <v>629268</v>
      </c>
      <c r="I61" s="16">
        <f t="shared" si="24"/>
        <v>6285096</v>
      </c>
      <c r="J61" s="16">
        <f>+J53+J55+J59</f>
        <v>1490489</v>
      </c>
      <c r="K61" s="16">
        <f t="shared" si="24"/>
        <v>5390259</v>
      </c>
      <c r="L61" s="16">
        <f t="shared" si="24"/>
        <v>1722164</v>
      </c>
      <c r="M61" s="16">
        <f t="shared" si="24"/>
        <v>4235182</v>
      </c>
      <c r="N61" s="16">
        <f t="shared" si="24"/>
        <v>1803515</v>
      </c>
      <c r="O61" s="16">
        <f t="shared" si="24"/>
        <v>1294539</v>
      </c>
      <c r="P61" s="16">
        <f t="shared" si="24"/>
        <v>3002729</v>
      </c>
      <c r="Q61" s="16">
        <f t="shared" si="24"/>
        <v>668176</v>
      </c>
      <c r="R61" s="16">
        <f>+R53+R55+R59</f>
        <v>3060491.8</v>
      </c>
      <c r="S61" s="16">
        <f t="shared" si="24"/>
        <v>2649672</v>
      </c>
      <c r="T61" s="16">
        <f t="shared" si="24"/>
        <v>2572077.7550000004</v>
      </c>
      <c r="U61" s="16">
        <f t="shared" si="24"/>
        <v>2614337</v>
      </c>
      <c r="V61" s="16">
        <f>+V53+V55+V59</f>
        <v>2582334</v>
      </c>
      <c r="W61" s="16">
        <f t="shared" si="24"/>
        <v>1715930</v>
      </c>
      <c r="X61" s="16">
        <f t="shared" si="24"/>
        <v>2105083</v>
      </c>
      <c r="Y61" s="16">
        <f t="shared" si="24"/>
        <v>1197464</v>
      </c>
      <c r="Z61" s="16">
        <f>+Z53+Z55+Z59</f>
        <v>2942999.757</v>
      </c>
      <c r="AA61" s="16">
        <f>+AA53+AA55+AA59</f>
        <v>214237.81000000003</v>
      </c>
      <c r="AB61" s="16">
        <f>+AB53+AB55+AB59</f>
        <v>1686997</v>
      </c>
      <c r="AC61" s="16">
        <f t="shared" si="24"/>
        <v>914766.0530000001</v>
      </c>
      <c r="AD61" s="16">
        <f>+AD53+AD55+AD59</f>
        <v>336067.844</v>
      </c>
      <c r="AE61" s="16">
        <f t="shared" si="24"/>
        <v>1166461</v>
      </c>
      <c r="AF61" s="16">
        <f t="shared" si="24"/>
        <v>1568591.1390000002</v>
      </c>
      <c r="AG61" s="16">
        <f t="shared" si="24"/>
        <v>916525</v>
      </c>
      <c r="AH61" s="16">
        <f aca="true" t="shared" si="25" ref="AH61:AO61">+AH53+AH55+AH59</f>
        <v>848118</v>
      </c>
      <c r="AI61" s="16">
        <f t="shared" si="25"/>
        <v>398769</v>
      </c>
      <c r="AJ61" s="16">
        <f t="shared" si="25"/>
        <v>-7536</v>
      </c>
      <c r="AK61" s="16">
        <f t="shared" si="25"/>
        <v>288261</v>
      </c>
      <c r="AL61" s="16">
        <f t="shared" si="25"/>
        <v>263209</v>
      </c>
      <c r="AM61" s="16">
        <f t="shared" si="25"/>
        <v>167815</v>
      </c>
      <c r="AN61" s="16">
        <f>+AN53+AN55+AN59</f>
        <v>54961</v>
      </c>
      <c r="AO61" s="16">
        <f t="shared" si="25"/>
        <v>146324</v>
      </c>
      <c r="AP61" s="16">
        <f aca="true" t="shared" si="26" ref="AP61:BC61">+AP53+AP55+AP59</f>
        <v>149989.37</v>
      </c>
      <c r="AQ61" s="16">
        <f t="shared" si="26"/>
        <v>111901</v>
      </c>
      <c r="AR61" s="16">
        <f t="shared" si="26"/>
        <v>123251</v>
      </c>
      <c r="AS61" s="16">
        <f t="shared" si="26"/>
        <v>61248</v>
      </c>
      <c r="AT61" s="16">
        <f t="shared" si="26"/>
        <v>37229.37</v>
      </c>
      <c r="AU61" s="16">
        <f t="shared" si="26"/>
        <v>18882.005999999998</v>
      </c>
      <c r="AV61" s="16">
        <f t="shared" si="26"/>
        <v>57610</v>
      </c>
      <c r="AW61" s="16">
        <f t="shared" si="26"/>
        <v>18650</v>
      </c>
      <c r="AX61" s="16">
        <f t="shared" si="26"/>
        <v>6068</v>
      </c>
      <c r="AY61" s="16">
        <f t="shared" si="26"/>
        <v>33105.49</v>
      </c>
      <c r="AZ61" s="16">
        <f t="shared" si="26"/>
        <v>14854</v>
      </c>
      <c r="BA61" s="16">
        <f t="shared" si="26"/>
        <v>-9234</v>
      </c>
      <c r="BB61" s="16">
        <f>+BB53+BB55+BB59</f>
        <v>-376</v>
      </c>
      <c r="BC61" s="16">
        <f t="shared" si="26"/>
        <v>-30291</v>
      </c>
      <c r="BE61" s="16">
        <f>SUM(B61:BC61)</f>
        <v>147655193.30700004</v>
      </c>
      <c r="BF61" s="16"/>
      <c r="BG61" s="16">
        <f t="shared" si="22"/>
        <v>24772742.913</v>
      </c>
      <c r="BH61" s="16">
        <f t="shared" si="23"/>
        <v>122882450.394</v>
      </c>
      <c r="BI61" s="157"/>
    </row>
    <row r="62" spans="1:61" ht="11.25" customHeight="1">
      <c r="A62" s="155"/>
      <c r="C62" s="224"/>
      <c r="D62" s="159"/>
      <c r="E62" s="159"/>
      <c r="F62" s="159"/>
      <c r="G62" s="159"/>
      <c r="H62" s="159"/>
      <c r="I62" s="159"/>
      <c r="J62" s="159"/>
      <c r="K62" s="159"/>
      <c r="L62" s="157"/>
      <c r="P62" s="159"/>
      <c r="Q62" s="159"/>
      <c r="R62" s="158"/>
      <c r="S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G62" s="159"/>
      <c r="AH62" s="158"/>
      <c r="AI62" s="159"/>
      <c r="AJ62" s="159"/>
      <c r="AK62" s="159"/>
      <c r="AL62" s="159"/>
      <c r="AM62" s="168"/>
      <c r="AN62" s="159"/>
      <c r="AO62" s="168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E62" s="16"/>
      <c r="BF62" s="16"/>
      <c r="BG62" s="16"/>
      <c r="BH62" s="16"/>
      <c r="BI62" s="157"/>
    </row>
    <row r="63" spans="1:61" ht="11.25" customHeight="1">
      <c r="A63" s="154" t="s">
        <v>306</v>
      </c>
      <c r="B63" s="16">
        <v>108217150</v>
      </c>
      <c r="C63" s="227">
        <v>35439694.5</v>
      </c>
      <c r="D63" s="16">
        <v>121734668</v>
      </c>
      <c r="E63" s="16">
        <v>63478679</v>
      </c>
      <c r="F63" s="16">
        <v>56116687</v>
      </c>
      <c r="G63" s="16">
        <v>50336552</v>
      </c>
      <c r="H63" s="16">
        <v>910956</v>
      </c>
      <c r="I63" s="16">
        <v>31698600</v>
      </c>
      <c r="J63" s="16">
        <f>3109097+502387</f>
        <v>3611484</v>
      </c>
      <c r="K63" s="16">
        <v>28201605</v>
      </c>
      <c r="L63" s="157">
        <v>4918377</v>
      </c>
      <c r="M63" s="16">
        <v>22444732</v>
      </c>
      <c r="N63" s="16">
        <v>17903347</v>
      </c>
      <c r="O63" s="16">
        <v>4566410</v>
      </c>
      <c r="P63" s="16">
        <v>17788947</v>
      </c>
      <c r="Q63" s="16">
        <v>1499043</v>
      </c>
      <c r="R63" s="16">
        <v>15564174</v>
      </c>
      <c r="S63" s="16">
        <v>15645557</v>
      </c>
      <c r="T63" s="16">
        <v>15094260.531</v>
      </c>
      <c r="U63" s="156">
        <v>14189732</v>
      </c>
      <c r="V63" s="16">
        <v>12937557</v>
      </c>
      <c r="W63" s="16">
        <v>13717389</v>
      </c>
      <c r="X63" s="16">
        <v>12863725</v>
      </c>
      <c r="Y63" s="16">
        <v>12696730</v>
      </c>
      <c r="Z63" s="16">
        <f>6796620.894+1415079.562-1978.497</f>
        <v>8209721.959</v>
      </c>
      <c r="AA63" s="16">
        <f>550764.825+80612</f>
        <v>631376.825</v>
      </c>
      <c r="AB63" s="16">
        <v>9544124</v>
      </c>
      <c r="AC63" s="16">
        <v>10044470.85</v>
      </c>
      <c r="AD63" s="16">
        <v>718979.464</v>
      </c>
      <c r="AE63" s="7">
        <v>9026776</v>
      </c>
      <c r="AF63" s="16">
        <v>7502572.157</v>
      </c>
      <c r="AG63" s="16">
        <v>6409499</v>
      </c>
      <c r="AH63" s="16">
        <v>3247975</v>
      </c>
      <c r="AI63" s="16">
        <v>2536260</v>
      </c>
      <c r="AJ63" s="16">
        <v>191912</v>
      </c>
      <c r="AK63" s="16">
        <v>2671755</v>
      </c>
      <c r="AL63" s="16">
        <v>2279171</v>
      </c>
      <c r="AM63" s="16">
        <v>2250869</v>
      </c>
      <c r="AN63" s="16">
        <v>130980</v>
      </c>
      <c r="AO63" s="16">
        <v>1601449</v>
      </c>
      <c r="AP63" s="16">
        <v>1475470.407</v>
      </c>
      <c r="AQ63" s="16">
        <v>1368427</v>
      </c>
      <c r="AR63" s="16">
        <v>1182750</v>
      </c>
      <c r="AS63" s="16">
        <v>885206</v>
      </c>
      <c r="AT63" s="16">
        <v>665253</v>
      </c>
      <c r="AU63" s="16">
        <v>595105.652</v>
      </c>
      <c r="AV63" s="16">
        <v>550918</v>
      </c>
      <c r="AW63" s="16">
        <v>486958</v>
      </c>
      <c r="AX63" s="16">
        <v>452728</v>
      </c>
      <c r="AY63" s="16">
        <f>366418100/1000</f>
        <v>366418.1</v>
      </c>
      <c r="AZ63" s="16">
        <v>195390</v>
      </c>
      <c r="BA63" s="16">
        <v>97769.565</v>
      </c>
      <c r="BB63" s="16">
        <v>8343</v>
      </c>
      <c r="BC63" s="16">
        <v>13904</v>
      </c>
      <c r="BE63" s="16">
        <f>SUM(B63:BC63)</f>
        <v>756918588.01</v>
      </c>
      <c r="BF63" s="16"/>
      <c r="BG63" s="16">
        <f>+B63+AC63+AH63+AJ63+AO63+AP63+AR63+AS63+AV63+AY63+AZ63+BA63+BC63+V63</f>
        <v>141008339.922</v>
      </c>
      <c r="BH63" s="16">
        <f>+C63+D63+E63+F63+G63+H63+I63+J63+K63+L63+M63+N63+O63+P63+Q63+R63+S63+T63+U63+W63+X63+Y63+Z63+AA63+AB63+AD63+AE63+AF63+AG63+AI63+AK63+AL63+AM63+AN63+AQ63+AT63+AU63+AW63+AX63+BB63</f>
        <v>615910248.0879999</v>
      </c>
      <c r="BI63" s="157"/>
    </row>
    <row r="64" spans="1:61" s="151" customFormat="1" ht="11.25" customHeight="1">
      <c r="A64" s="163"/>
      <c r="B64" s="147"/>
      <c r="C64" s="147"/>
      <c r="D64" s="158"/>
      <c r="E64" s="159"/>
      <c r="F64" s="159"/>
      <c r="G64" s="159"/>
      <c r="H64" s="159"/>
      <c r="I64" s="159"/>
      <c r="J64" s="159"/>
      <c r="K64" s="159"/>
      <c r="L64" s="157"/>
      <c r="P64" s="159"/>
      <c r="Q64" s="159"/>
      <c r="R64" s="158"/>
      <c r="S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47"/>
      <c r="AG64" s="159"/>
      <c r="AH64" s="158"/>
      <c r="AI64" s="159"/>
      <c r="AJ64" s="159"/>
      <c r="AK64" s="159"/>
      <c r="AL64" s="159"/>
      <c r="AM64" s="168"/>
      <c r="AN64" s="159"/>
      <c r="AO64" s="147"/>
      <c r="AP64" s="147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47"/>
      <c r="BC64" s="147"/>
      <c r="BE64" s="149"/>
      <c r="BF64" s="149"/>
      <c r="BG64" s="16"/>
      <c r="BH64" s="16"/>
      <c r="BI64" s="173"/>
    </row>
    <row r="65" spans="1:61" s="151" customFormat="1" ht="11.25" customHeight="1">
      <c r="A65" s="220" t="s">
        <v>415</v>
      </c>
      <c r="B65" s="149">
        <f aca="true" t="shared" si="27" ref="B65:AE65">+B61+B63</f>
        <v>128105354</v>
      </c>
      <c r="C65" s="149">
        <f t="shared" si="27"/>
        <v>48484650.2</v>
      </c>
      <c r="D65" s="149">
        <f t="shared" si="27"/>
        <v>147738095</v>
      </c>
      <c r="E65" s="149">
        <f t="shared" si="27"/>
        <v>76271790.213</v>
      </c>
      <c r="F65" s="149">
        <f t="shared" si="27"/>
        <v>68259866</v>
      </c>
      <c r="G65" s="149">
        <f t="shared" si="27"/>
        <v>56600608</v>
      </c>
      <c r="H65" s="149">
        <f t="shared" si="27"/>
        <v>1540224</v>
      </c>
      <c r="I65" s="149">
        <f t="shared" si="27"/>
        <v>37983696</v>
      </c>
      <c r="J65" s="149">
        <f>+J61+J63</f>
        <v>5101973</v>
      </c>
      <c r="K65" s="149">
        <f t="shared" si="27"/>
        <v>33591864</v>
      </c>
      <c r="L65" s="149">
        <f t="shared" si="27"/>
        <v>6640541</v>
      </c>
      <c r="M65" s="149">
        <f t="shared" si="27"/>
        <v>26679914</v>
      </c>
      <c r="N65" s="149">
        <f t="shared" si="27"/>
        <v>19706862</v>
      </c>
      <c r="O65" s="149">
        <f t="shared" si="27"/>
        <v>5860949</v>
      </c>
      <c r="P65" s="149">
        <f t="shared" si="27"/>
        <v>20791676</v>
      </c>
      <c r="Q65" s="149">
        <f t="shared" si="27"/>
        <v>2167219</v>
      </c>
      <c r="R65" s="149">
        <f>+R61+R63</f>
        <v>18624665.8</v>
      </c>
      <c r="S65" s="149">
        <f t="shared" si="27"/>
        <v>18295229</v>
      </c>
      <c r="T65" s="149">
        <f t="shared" si="27"/>
        <v>17666338.286</v>
      </c>
      <c r="U65" s="149">
        <f t="shared" si="27"/>
        <v>16804069</v>
      </c>
      <c r="V65" s="149">
        <f>+V61+V63</f>
        <v>15519891</v>
      </c>
      <c r="W65" s="149">
        <f t="shared" si="27"/>
        <v>15433319</v>
      </c>
      <c r="X65" s="149">
        <f t="shared" si="27"/>
        <v>14968808</v>
      </c>
      <c r="Y65" s="149">
        <f t="shared" si="27"/>
        <v>13894194</v>
      </c>
      <c r="Z65" s="149">
        <f>+Z61+Z63</f>
        <v>11152721.716</v>
      </c>
      <c r="AA65" s="149">
        <f>+AA61+AA63</f>
        <v>845614.635</v>
      </c>
      <c r="AB65" s="149">
        <f>+AB61+AB63</f>
        <v>11231121</v>
      </c>
      <c r="AC65" s="149">
        <f t="shared" si="27"/>
        <v>10959236.902999999</v>
      </c>
      <c r="AD65" s="149">
        <f>+AD61+AD63</f>
        <v>1055047.308</v>
      </c>
      <c r="AE65" s="149">
        <f t="shared" si="27"/>
        <v>10193237</v>
      </c>
      <c r="AF65" s="149">
        <f aca="true" t="shared" si="28" ref="AF65:BC65">+AF61+AF63</f>
        <v>9071163.296</v>
      </c>
      <c r="AG65" s="149">
        <f>+AG61+AG63</f>
        <v>7326024</v>
      </c>
      <c r="AH65" s="149">
        <f t="shared" si="28"/>
        <v>4096093</v>
      </c>
      <c r="AI65" s="149">
        <f t="shared" si="28"/>
        <v>2935029</v>
      </c>
      <c r="AJ65" s="149">
        <f t="shared" si="28"/>
        <v>184376</v>
      </c>
      <c r="AK65" s="149">
        <f t="shared" si="28"/>
        <v>2960016</v>
      </c>
      <c r="AL65" s="149">
        <f t="shared" si="28"/>
        <v>2542380</v>
      </c>
      <c r="AM65" s="149">
        <f t="shared" si="28"/>
        <v>2418684</v>
      </c>
      <c r="AN65" s="149">
        <f>+AN61+AN63</f>
        <v>185941</v>
      </c>
      <c r="AO65" s="149">
        <f t="shared" si="28"/>
        <v>1747773</v>
      </c>
      <c r="AP65" s="149">
        <f t="shared" si="28"/>
        <v>1625459.7769999998</v>
      </c>
      <c r="AQ65" s="149">
        <f t="shared" si="28"/>
        <v>1480328</v>
      </c>
      <c r="AR65" s="149">
        <f t="shared" si="28"/>
        <v>1306001</v>
      </c>
      <c r="AS65" s="149">
        <f t="shared" si="28"/>
        <v>946454</v>
      </c>
      <c r="AT65" s="149">
        <f t="shared" si="28"/>
        <v>702482.37</v>
      </c>
      <c r="AU65" s="149">
        <f t="shared" si="28"/>
        <v>613987.658</v>
      </c>
      <c r="AV65" s="149">
        <f t="shared" si="28"/>
        <v>608528</v>
      </c>
      <c r="AW65" s="149">
        <f t="shared" si="28"/>
        <v>505608</v>
      </c>
      <c r="AX65" s="149">
        <f t="shared" si="28"/>
        <v>458796</v>
      </c>
      <c r="AY65" s="149">
        <f t="shared" si="28"/>
        <v>399523.58999999997</v>
      </c>
      <c r="AZ65" s="149">
        <f t="shared" si="28"/>
        <v>210244</v>
      </c>
      <c r="BA65" s="149">
        <f t="shared" si="28"/>
        <v>88535.565</v>
      </c>
      <c r="BB65" s="149">
        <f>+BB61+BB63</f>
        <v>7967</v>
      </c>
      <c r="BC65" s="149">
        <f t="shared" si="28"/>
        <v>-16387</v>
      </c>
      <c r="BD65" s="149"/>
      <c r="BE65" s="149">
        <f>SUM(B65:BC65)</f>
        <v>904573781.3169999</v>
      </c>
      <c r="BF65" s="149"/>
      <c r="BG65" s="149">
        <f>+B65+AC65+AH65+AJ65+AO65+AP65+AR65+AS65+AV65+AY65+AZ65+BA65+BC65+V65</f>
        <v>165781082.835</v>
      </c>
      <c r="BH65" s="149">
        <f>+C65+D65+E65+F65+G65+H65+I65+J65+K65+L65+M65+N65+O65+P65+Q65+R65+S65+T65+U65+W65+X65+Y65+Z65+AA65+AB65+AD65+AE65+AF65+AG65+AI65+AK65+AL65+AM65+AN65+AQ65+AT65+AU65+AW65+AX65+BB65</f>
        <v>738792698.4819999</v>
      </c>
      <c r="BI65" s="173"/>
    </row>
    <row r="66" spans="1:61" s="151" customFormat="1" ht="11.25" customHeight="1">
      <c r="A66" s="22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49"/>
      <c r="BE66" s="149"/>
      <c r="BF66" s="149"/>
      <c r="BG66" s="16"/>
      <c r="BH66" s="16"/>
      <c r="BI66" s="173"/>
    </row>
    <row r="67" spans="1:61" ht="18" customHeight="1">
      <c r="A67" s="178" t="s">
        <v>397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57"/>
    </row>
    <row r="68" spans="1:61" ht="11.25" customHeight="1">
      <c r="A68" s="165" t="s">
        <v>396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57"/>
    </row>
    <row r="69" spans="1:61" ht="11.25" customHeight="1" hidden="1" outlineLevel="1">
      <c r="A69" s="166" t="s">
        <v>412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/>
      <c r="BE69" s="16">
        <f>SUM(B69:BC69)</f>
        <v>0</v>
      </c>
      <c r="BF69" s="16"/>
      <c r="BG69" s="16">
        <f aca="true" t="shared" si="29" ref="BG69:BG87">+B69+AC69+AH69+AJ69+AO69+AP69+AR69+AS69+AV69+AY69+AZ69+BA69+BC69+V69</f>
        <v>0</v>
      </c>
      <c r="BH69" s="16">
        <f aca="true" t="shared" si="30" ref="BH69:BH87">+C69+D69+E69+F69+G69+H69+I69+J69+K69+L69+M69+N69+O69+P69+Q69+R69+S69+T69+U69+W69+X69+Y69+Z69+AA69+AB69+AD69+AE69+AF69+AG69+AI69+AK69+AL69+AM69+AN69+AQ69+AT69+AU69+AW69+AX69+BB69</f>
        <v>0</v>
      </c>
      <c r="BI69" s="16"/>
    </row>
    <row r="70" spans="1:61" ht="11.25" customHeight="1" hidden="1" outlineLevel="1">
      <c r="A70" s="169"/>
      <c r="D70" s="159"/>
      <c r="G70" s="159"/>
      <c r="H70" s="167"/>
      <c r="I70" s="159"/>
      <c r="J70" s="159"/>
      <c r="K70" s="159"/>
      <c r="L70" s="158"/>
      <c r="P70" s="159"/>
      <c r="Q70" s="167"/>
      <c r="R70" s="158"/>
      <c r="U70" s="159"/>
      <c r="V70" s="159"/>
      <c r="W70" s="159"/>
      <c r="X70" s="159"/>
      <c r="Y70" s="159"/>
      <c r="Z70" s="159"/>
      <c r="AA70" s="167"/>
      <c r="AB70" s="159"/>
      <c r="AC70" s="159"/>
      <c r="AG70" s="159"/>
      <c r="AH70" s="158"/>
      <c r="AI70" s="159"/>
      <c r="AJ70" s="167"/>
      <c r="AK70" s="159"/>
      <c r="AS70" s="159"/>
      <c r="AV70" s="159"/>
      <c r="AW70" s="159"/>
      <c r="AX70" s="159"/>
      <c r="AY70" s="159"/>
      <c r="AZ70" s="159"/>
      <c r="BA70" s="159"/>
      <c r="BE70" s="16"/>
      <c r="BF70" s="16"/>
      <c r="BG70" s="16">
        <f t="shared" si="29"/>
        <v>0</v>
      </c>
      <c r="BH70" s="16">
        <f t="shared" si="30"/>
        <v>0</v>
      </c>
      <c r="BI70" s="16"/>
    </row>
    <row r="71" spans="1:61" ht="11.25" customHeight="1" hidden="1" outlineLevel="1">
      <c r="A71" s="169" t="s">
        <v>226</v>
      </c>
      <c r="D71" s="159"/>
      <c r="G71" s="159"/>
      <c r="H71" s="167"/>
      <c r="I71" s="159"/>
      <c r="J71" s="159"/>
      <c r="K71" s="159"/>
      <c r="L71" s="158"/>
      <c r="P71" s="159"/>
      <c r="Q71" s="167"/>
      <c r="R71" s="158"/>
      <c r="U71" s="159"/>
      <c r="V71" s="159"/>
      <c r="W71" s="159"/>
      <c r="X71" s="159"/>
      <c r="Y71" s="159"/>
      <c r="Z71" s="159"/>
      <c r="AA71" s="167"/>
      <c r="AB71" s="159"/>
      <c r="AC71" s="159"/>
      <c r="AG71" s="159"/>
      <c r="AH71" s="158"/>
      <c r="AI71" s="159"/>
      <c r="AJ71" s="167"/>
      <c r="AK71" s="159"/>
      <c r="AS71" s="159"/>
      <c r="AV71" s="159"/>
      <c r="AW71" s="157"/>
      <c r="AX71" s="159"/>
      <c r="AY71" s="159"/>
      <c r="AZ71" s="159"/>
      <c r="BA71" s="159"/>
      <c r="BE71" s="16"/>
      <c r="BF71" s="16"/>
      <c r="BG71" s="16">
        <f t="shared" si="29"/>
        <v>0</v>
      </c>
      <c r="BH71" s="16">
        <f t="shared" si="30"/>
        <v>0</v>
      </c>
      <c r="BI71" s="16"/>
    </row>
    <row r="72" spans="1:61" ht="11.25" customHeight="1" hidden="1" outlineLevel="1">
      <c r="A72" s="148" t="s">
        <v>227</v>
      </c>
      <c r="B72" s="157">
        <v>67546</v>
      </c>
      <c r="C72" s="157">
        <v>67546</v>
      </c>
      <c r="D72" s="157">
        <v>293390</v>
      </c>
      <c r="E72" s="157">
        <v>214121</v>
      </c>
      <c r="F72" s="157">
        <v>94674</v>
      </c>
      <c r="G72" s="157">
        <v>154809</v>
      </c>
      <c r="H72" s="157">
        <v>0</v>
      </c>
      <c r="I72" s="157">
        <v>76800</v>
      </c>
      <c r="J72" s="16">
        <v>0</v>
      </c>
      <c r="K72" s="157">
        <v>0</v>
      </c>
      <c r="L72" s="16">
        <v>0</v>
      </c>
      <c r="M72" s="157">
        <v>70345</v>
      </c>
      <c r="N72" s="157">
        <v>0</v>
      </c>
      <c r="O72" s="157">
        <v>0</v>
      </c>
      <c r="P72" s="157">
        <v>63117</v>
      </c>
      <c r="Q72" s="157">
        <v>6579</v>
      </c>
      <c r="R72" s="157">
        <v>0</v>
      </c>
      <c r="S72" s="157">
        <v>27180</v>
      </c>
      <c r="T72" s="157">
        <v>36880</v>
      </c>
      <c r="U72" s="157">
        <v>0</v>
      </c>
      <c r="V72" s="157">
        <v>15010</v>
      </c>
      <c r="W72" s="157">
        <v>0</v>
      </c>
      <c r="X72" s="157">
        <v>24561</v>
      </c>
      <c r="Y72" s="157">
        <v>0</v>
      </c>
      <c r="Z72" s="157">
        <v>0</v>
      </c>
      <c r="AA72" s="157">
        <v>0</v>
      </c>
      <c r="AB72" s="157">
        <v>17968</v>
      </c>
      <c r="AC72" s="157">
        <v>0</v>
      </c>
      <c r="AD72" s="157">
        <v>0</v>
      </c>
      <c r="AE72" s="157">
        <v>0</v>
      </c>
      <c r="AF72" s="157">
        <v>0</v>
      </c>
      <c r="AG72" s="157">
        <v>11410</v>
      </c>
      <c r="AH72" s="157">
        <v>0</v>
      </c>
      <c r="AI72" s="157">
        <v>0</v>
      </c>
      <c r="AJ72" s="157">
        <v>0</v>
      </c>
      <c r="AK72" s="157">
        <v>12169</v>
      </c>
      <c r="AL72" s="157">
        <v>0</v>
      </c>
      <c r="AM72" s="157">
        <v>0</v>
      </c>
      <c r="AN72" s="157">
        <v>0</v>
      </c>
      <c r="AO72" s="157">
        <v>0</v>
      </c>
      <c r="AP72" s="157">
        <v>0</v>
      </c>
      <c r="AQ72" s="157">
        <v>0</v>
      </c>
      <c r="AR72" s="157">
        <v>0</v>
      </c>
      <c r="AS72" s="157">
        <v>0</v>
      </c>
      <c r="AT72" s="157">
        <v>0</v>
      </c>
      <c r="AU72" s="157">
        <v>0</v>
      </c>
      <c r="AV72" s="157">
        <v>0</v>
      </c>
      <c r="AW72" s="157">
        <v>0</v>
      </c>
      <c r="AX72" s="157">
        <v>0</v>
      </c>
      <c r="AY72" s="157">
        <v>0</v>
      </c>
      <c r="AZ72" s="157">
        <v>0</v>
      </c>
      <c r="BA72" s="157">
        <v>0</v>
      </c>
      <c r="BB72" s="157">
        <v>0</v>
      </c>
      <c r="BC72" s="157">
        <v>0</v>
      </c>
      <c r="BE72" s="16">
        <f aca="true" t="shared" si="31" ref="BE72:BE77">SUM(B72:BC72)</f>
        <v>1254105</v>
      </c>
      <c r="BF72" s="16"/>
      <c r="BG72" s="16">
        <f t="shared" si="29"/>
        <v>82556</v>
      </c>
      <c r="BH72" s="16">
        <f t="shared" si="30"/>
        <v>1171549</v>
      </c>
      <c r="BI72" s="16"/>
    </row>
    <row r="73" spans="1:61" ht="11.25" customHeight="1" hidden="1" outlineLevel="1">
      <c r="A73" s="148" t="s">
        <v>228</v>
      </c>
      <c r="B73" s="157">
        <v>0</v>
      </c>
      <c r="C73" s="157">
        <v>0</v>
      </c>
      <c r="D73" s="157">
        <v>0</v>
      </c>
      <c r="E73" s="157">
        <v>28392</v>
      </c>
      <c r="F73" s="157">
        <v>0</v>
      </c>
      <c r="G73" s="157">
        <v>0</v>
      </c>
      <c r="H73" s="157">
        <v>0</v>
      </c>
      <c r="I73" s="157">
        <v>0</v>
      </c>
      <c r="J73" s="16">
        <v>0</v>
      </c>
      <c r="K73" s="157">
        <v>0</v>
      </c>
      <c r="L73" s="16">
        <v>0</v>
      </c>
      <c r="M73" s="16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>
        <v>0</v>
      </c>
      <c r="AP73" s="157">
        <v>0</v>
      </c>
      <c r="AQ73" s="157">
        <v>0</v>
      </c>
      <c r="AR73" s="157">
        <v>0</v>
      </c>
      <c r="AS73" s="157">
        <v>0</v>
      </c>
      <c r="AT73" s="157">
        <v>0</v>
      </c>
      <c r="AU73" s="157">
        <v>0</v>
      </c>
      <c r="AV73" s="157">
        <v>0</v>
      </c>
      <c r="AW73" s="157">
        <v>0</v>
      </c>
      <c r="AX73" s="157">
        <v>0</v>
      </c>
      <c r="AY73" s="157">
        <v>0</v>
      </c>
      <c r="AZ73" s="157">
        <v>0</v>
      </c>
      <c r="BA73" s="157">
        <v>0</v>
      </c>
      <c r="BB73" s="157">
        <v>0</v>
      </c>
      <c r="BC73" s="157">
        <v>0</v>
      </c>
      <c r="BE73" s="16">
        <f t="shared" si="31"/>
        <v>28392</v>
      </c>
      <c r="BF73" s="16"/>
      <c r="BG73" s="16">
        <f t="shared" si="29"/>
        <v>0</v>
      </c>
      <c r="BH73" s="16">
        <f t="shared" si="30"/>
        <v>28392</v>
      </c>
      <c r="BI73" s="16"/>
    </row>
    <row r="74" spans="1:61" ht="11.25" customHeight="1" hidden="1" outlineLevel="1">
      <c r="A74" s="148" t="s">
        <v>229</v>
      </c>
      <c r="B74" s="157">
        <v>0</v>
      </c>
      <c r="C74" s="157">
        <v>0</v>
      </c>
      <c r="D74" s="157">
        <v>0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6">
        <v>0</v>
      </c>
      <c r="K74" s="157">
        <v>0</v>
      </c>
      <c r="L74" s="16">
        <v>0</v>
      </c>
      <c r="M74" s="16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7">
        <v>0</v>
      </c>
      <c r="W74" s="157">
        <v>0</v>
      </c>
      <c r="X74" s="157">
        <v>0</v>
      </c>
      <c r="Y74" s="157">
        <v>0</v>
      </c>
      <c r="Z74" s="157">
        <v>0</v>
      </c>
      <c r="AA74" s="157">
        <v>0</v>
      </c>
      <c r="AB74" s="157">
        <v>0</v>
      </c>
      <c r="AC74" s="157">
        <v>0</v>
      </c>
      <c r="AD74" s="157">
        <v>0</v>
      </c>
      <c r="AE74" s="157">
        <v>0</v>
      </c>
      <c r="AF74" s="157">
        <v>0</v>
      </c>
      <c r="AG74" s="157">
        <v>0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0</v>
      </c>
      <c r="AN74" s="157">
        <v>0</v>
      </c>
      <c r="AO74" s="157">
        <v>0</v>
      </c>
      <c r="AP74" s="157">
        <v>0</v>
      </c>
      <c r="AQ74" s="157">
        <v>0</v>
      </c>
      <c r="AR74" s="157">
        <v>0</v>
      </c>
      <c r="AS74" s="157">
        <v>0</v>
      </c>
      <c r="AT74" s="157">
        <v>0</v>
      </c>
      <c r="AU74" s="157">
        <v>0</v>
      </c>
      <c r="AV74" s="157">
        <v>0</v>
      </c>
      <c r="AW74" s="157">
        <v>0</v>
      </c>
      <c r="AX74" s="157">
        <v>0</v>
      </c>
      <c r="AY74" s="157">
        <v>0</v>
      </c>
      <c r="AZ74" s="157">
        <v>0</v>
      </c>
      <c r="BA74" s="157">
        <v>0</v>
      </c>
      <c r="BB74" s="157">
        <v>0</v>
      </c>
      <c r="BC74" s="157">
        <v>0</v>
      </c>
      <c r="BE74" s="16">
        <f t="shared" si="31"/>
        <v>0</v>
      </c>
      <c r="BF74" s="16"/>
      <c r="BG74" s="16">
        <f t="shared" si="29"/>
        <v>0</v>
      </c>
      <c r="BH74" s="16">
        <f t="shared" si="30"/>
        <v>0</v>
      </c>
      <c r="BI74" s="16"/>
    </row>
    <row r="75" spans="1:61" ht="11.25" customHeight="1" hidden="1" outlineLevel="1">
      <c r="A75" s="148" t="s">
        <v>230</v>
      </c>
      <c r="B75" s="157">
        <v>0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6">
        <v>0</v>
      </c>
      <c r="K75" s="157">
        <v>0</v>
      </c>
      <c r="L75" s="16">
        <v>0</v>
      </c>
      <c r="M75" s="16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0</v>
      </c>
      <c r="AB75" s="157">
        <v>0</v>
      </c>
      <c r="AC75" s="157">
        <v>0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>
        <v>0</v>
      </c>
      <c r="AP75" s="157">
        <v>0</v>
      </c>
      <c r="AQ75" s="157">
        <v>0</v>
      </c>
      <c r="AR75" s="157">
        <v>0</v>
      </c>
      <c r="AS75" s="157">
        <v>0</v>
      </c>
      <c r="AT75" s="157">
        <v>0</v>
      </c>
      <c r="AU75" s="157">
        <v>0</v>
      </c>
      <c r="AV75" s="157">
        <v>0</v>
      </c>
      <c r="AW75" s="157">
        <v>0</v>
      </c>
      <c r="AX75" s="157">
        <v>0</v>
      </c>
      <c r="AY75" s="157">
        <v>0</v>
      </c>
      <c r="AZ75" s="157">
        <v>0</v>
      </c>
      <c r="BA75" s="157">
        <v>0</v>
      </c>
      <c r="BB75" s="157">
        <v>0</v>
      </c>
      <c r="BC75" s="157">
        <v>0</v>
      </c>
      <c r="BE75" s="16">
        <f t="shared" si="31"/>
        <v>0</v>
      </c>
      <c r="BF75" s="16"/>
      <c r="BG75" s="16">
        <f t="shared" si="29"/>
        <v>0</v>
      </c>
      <c r="BH75" s="16">
        <f t="shared" si="30"/>
        <v>0</v>
      </c>
      <c r="BI75" s="16"/>
    </row>
    <row r="76" spans="1:61" ht="11.25" customHeight="1" hidden="1" outlineLevel="1">
      <c r="A76" s="148" t="s">
        <v>231</v>
      </c>
      <c r="B76" s="157">
        <v>0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6">
        <v>0</v>
      </c>
      <c r="K76" s="157">
        <v>0</v>
      </c>
      <c r="L76" s="16">
        <v>0</v>
      </c>
      <c r="M76" s="16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33373</v>
      </c>
      <c r="T76" s="157">
        <v>0</v>
      </c>
      <c r="U76" s="157">
        <v>0</v>
      </c>
      <c r="V76" s="157">
        <v>0</v>
      </c>
      <c r="W76" s="157">
        <v>0</v>
      </c>
      <c r="X76" s="157">
        <v>28392</v>
      </c>
      <c r="Y76" s="157">
        <v>0</v>
      </c>
      <c r="Z76" s="157">
        <v>0</v>
      </c>
      <c r="AA76" s="157">
        <v>0</v>
      </c>
      <c r="AB76" s="157">
        <v>0</v>
      </c>
      <c r="AC76" s="157">
        <v>0</v>
      </c>
      <c r="AD76" s="157">
        <v>0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0</v>
      </c>
      <c r="AN76" s="157">
        <v>0</v>
      </c>
      <c r="AO76" s="157">
        <v>0</v>
      </c>
      <c r="AP76" s="157">
        <v>0</v>
      </c>
      <c r="AQ76" s="157">
        <v>0</v>
      </c>
      <c r="AR76" s="157">
        <v>0</v>
      </c>
      <c r="AS76" s="157">
        <v>0</v>
      </c>
      <c r="AT76" s="157">
        <v>0</v>
      </c>
      <c r="AU76" s="157">
        <v>0</v>
      </c>
      <c r="AV76" s="157">
        <v>0</v>
      </c>
      <c r="AW76" s="157">
        <v>0</v>
      </c>
      <c r="AX76" s="157">
        <v>0</v>
      </c>
      <c r="AY76" s="157">
        <v>0</v>
      </c>
      <c r="AZ76" s="157">
        <v>0</v>
      </c>
      <c r="BA76" s="157">
        <v>0</v>
      </c>
      <c r="BB76" s="157">
        <v>0</v>
      </c>
      <c r="BC76" s="157">
        <v>0</v>
      </c>
      <c r="BE76" s="16">
        <f t="shared" si="31"/>
        <v>61765</v>
      </c>
      <c r="BF76" s="16"/>
      <c r="BG76" s="16">
        <f t="shared" si="29"/>
        <v>0</v>
      </c>
      <c r="BH76" s="16">
        <f t="shared" si="30"/>
        <v>61765</v>
      </c>
      <c r="BI76" s="16"/>
    </row>
    <row r="77" spans="1:61" ht="11.25" customHeight="1" hidden="1" outlineLevel="1">
      <c r="A77" s="148" t="s">
        <v>232</v>
      </c>
      <c r="B77" s="157">
        <v>0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6">
        <v>0</v>
      </c>
      <c r="K77" s="157">
        <v>0</v>
      </c>
      <c r="L77" s="16">
        <v>0</v>
      </c>
      <c r="M77" s="16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/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0</v>
      </c>
      <c r="AR77" s="157">
        <v>0</v>
      </c>
      <c r="AS77" s="157">
        <v>0</v>
      </c>
      <c r="AT77" s="157">
        <v>0</v>
      </c>
      <c r="AU77" s="157">
        <v>0</v>
      </c>
      <c r="AV77" s="157">
        <v>0</v>
      </c>
      <c r="AW77" s="157">
        <v>0</v>
      </c>
      <c r="AX77" s="157">
        <v>0</v>
      </c>
      <c r="AY77" s="157">
        <v>0</v>
      </c>
      <c r="AZ77" s="157">
        <v>0</v>
      </c>
      <c r="BA77" s="157">
        <v>0</v>
      </c>
      <c r="BB77" s="157">
        <v>0</v>
      </c>
      <c r="BC77" s="157">
        <v>0</v>
      </c>
      <c r="BE77" s="16">
        <f t="shared" si="31"/>
        <v>0</v>
      </c>
      <c r="BF77" s="16"/>
      <c r="BG77" s="16">
        <f t="shared" si="29"/>
        <v>0</v>
      </c>
      <c r="BH77" s="16">
        <f t="shared" si="30"/>
        <v>0</v>
      </c>
      <c r="BI77" s="16"/>
    </row>
    <row r="78" spans="1:61" ht="11.25" customHeight="1" hidden="1" outlineLevel="1">
      <c r="A78" s="148"/>
      <c r="B78" s="157"/>
      <c r="C78" s="157"/>
      <c r="D78" s="159"/>
      <c r="E78" s="159"/>
      <c r="F78" s="159"/>
      <c r="G78" s="159"/>
      <c r="H78" s="159"/>
      <c r="I78" s="159"/>
      <c r="J78" s="159"/>
      <c r="K78" s="159"/>
      <c r="L78" s="158"/>
      <c r="P78" s="159"/>
      <c r="Q78" s="159"/>
      <c r="R78" s="158"/>
      <c r="U78" s="159"/>
      <c r="V78" s="159">
        <v>0</v>
      </c>
      <c r="W78" s="159"/>
      <c r="X78" s="159"/>
      <c r="Y78" s="159"/>
      <c r="Z78" s="159"/>
      <c r="AA78" s="159"/>
      <c r="AB78" s="159"/>
      <c r="AC78" s="159"/>
      <c r="AG78" s="159"/>
      <c r="AH78" s="158"/>
      <c r="AI78" s="159"/>
      <c r="AJ78" s="159"/>
      <c r="AK78" s="159"/>
      <c r="AS78" s="157"/>
      <c r="AV78" s="159"/>
      <c r="AW78" s="159"/>
      <c r="AX78" s="159"/>
      <c r="AY78" s="159"/>
      <c r="AZ78" s="159"/>
      <c r="BA78" s="159"/>
      <c r="BE78" s="16"/>
      <c r="BF78" s="16"/>
      <c r="BG78" s="16">
        <f t="shared" si="29"/>
        <v>0</v>
      </c>
      <c r="BH78" s="16">
        <f t="shared" si="30"/>
        <v>0</v>
      </c>
      <c r="BI78" s="16"/>
    </row>
    <row r="79" spans="1:61" ht="11.25" customHeight="1" hidden="1" outlineLevel="1">
      <c r="A79" s="170" t="s">
        <v>233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  <c r="L79" s="158"/>
      <c r="P79" s="159"/>
      <c r="Q79" s="159"/>
      <c r="R79" s="158"/>
      <c r="U79" s="159"/>
      <c r="V79" s="159"/>
      <c r="W79" s="159"/>
      <c r="X79" s="159"/>
      <c r="Y79" s="159"/>
      <c r="Z79" s="159"/>
      <c r="AA79" s="159"/>
      <c r="AB79" s="159"/>
      <c r="AC79" s="159"/>
      <c r="AG79" s="159"/>
      <c r="AH79" s="158"/>
      <c r="AI79" s="159"/>
      <c r="AJ79" s="159"/>
      <c r="AK79" s="159"/>
      <c r="AS79" s="157"/>
      <c r="AV79" s="159"/>
      <c r="AX79" s="159"/>
      <c r="AY79" s="159"/>
      <c r="AZ79" s="159"/>
      <c r="BA79" s="159"/>
      <c r="BE79" s="16"/>
      <c r="BF79" s="16"/>
      <c r="BG79" s="16">
        <f t="shared" si="29"/>
        <v>0</v>
      </c>
      <c r="BH79" s="16">
        <f t="shared" si="30"/>
        <v>0</v>
      </c>
      <c r="BI79" s="16"/>
    </row>
    <row r="80" spans="1:61" ht="11.25" customHeight="1" hidden="1" outlineLevel="1">
      <c r="A80" s="148" t="s">
        <v>234</v>
      </c>
      <c r="B80" s="157">
        <v>47015539</v>
      </c>
      <c r="C80" s="157">
        <v>22783113</v>
      </c>
      <c r="D80" s="157">
        <v>60561598</v>
      </c>
      <c r="E80" s="157">
        <v>29522663</v>
      </c>
      <c r="F80" s="157">
        <v>26689980</v>
      </c>
      <c r="G80" s="157">
        <v>23227922</v>
      </c>
      <c r="H80" s="157">
        <v>0</v>
      </c>
      <c r="I80" s="157">
        <v>15234410.095</v>
      </c>
      <c r="J80" s="157">
        <v>2476662.4</v>
      </c>
      <c r="K80" s="157">
        <v>11091466</v>
      </c>
      <c r="L80" s="157">
        <v>5488848</v>
      </c>
      <c r="M80" s="157">
        <v>7739977</v>
      </c>
      <c r="N80" s="157">
        <v>10032398</v>
      </c>
      <c r="O80" s="157">
        <v>2451917</v>
      </c>
      <c r="P80" s="157">
        <v>7027765</v>
      </c>
      <c r="Q80" s="157">
        <v>732539</v>
      </c>
      <c r="R80" s="157">
        <v>13293740</v>
      </c>
      <c r="S80" s="157">
        <v>10915604</v>
      </c>
      <c r="T80" s="157">
        <v>8172827</v>
      </c>
      <c r="U80" s="157">
        <v>5934735</v>
      </c>
      <c r="V80" s="157">
        <v>6192659</v>
      </c>
      <c r="W80" s="157">
        <v>5780486</v>
      </c>
      <c r="X80" s="157">
        <v>6280858</v>
      </c>
      <c r="Y80" s="157">
        <v>9847586.4</v>
      </c>
      <c r="Z80" s="157">
        <v>4744603.913</v>
      </c>
      <c r="AA80" s="157">
        <v>359742.493</v>
      </c>
      <c r="AB80" s="157">
        <v>2797199</v>
      </c>
      <c r="AC80" s="157">
        <v>1110946</v>
      </c>
      <c r="AD80" s="157">
        <v>1044114.17</v>
      </c>
      <c r="AE80" s="8">
        <v>6417044</v>
      </c>
      <c r="AF80" s="157">
        <v>1778091.35</v>
      </c>
      <c r="AG80" s="157">
        <v>4507422</v>
      </c>
      <c r="AH80" s="157">
        <v>3410054.226</v>
      </c>
      <c r="AI80" s="157">
        <v>1078829</v>
      </c>
      <c r="AJ80" s="157">
        <v>3882</v>
      </c>
      <c r="AK80" s="157">
        <v>1231955</v>
      </c>
      <c r="AL80" s="157">
        <v>1197968</v>
      </c>
      <c r="AM80" s="157">
        <v>1645436</v>
      </c>
      <c r="AN80" s="157">
        <v>153608</v>
      </c>
      <c r="AO80" s="157">
        <v>1085730</v>
      </c>
      <c r="AP80" s="157">
        <v>405212</v>
      </c>
      <c r="AQ80" s="157">
        <v>1359160</v>
      </c>
      <c r="AR80" s="157">
        <v>619661</v>
      </c>
      <c r="AS80" s="157">
        <v>747267</v>
      </c>
      <c r="AT80" s="157">
        <v>523628</v>
      </c>
      <c r="AU80" s="16">
        <v>7517.582</v>
      </c>
      <c r="AV80" s="157">
        <v>321421</v>
      </c>
      <c r="AW80" s="157">
        <v>472920</v>
      </c>
      <c r="AX80" s="157">
        <v>0</v>
      </c>
      <c r="AY80" s="157">
        <f>202545229/1000</f>
        <v>202545.229</v>
      </c>
      <c r="AZ80" s="157">
        <v>91430</v>
      </c>
      <c r="BA80" s="157">
        <v>0</v>
      </c>
      <c r="BB80" s="157">
        <v>8639</v>
      </c>
      <c r="BC80" s="157">
        <v>10000</v>
      </c>
      <c r="BE80" s="16">
        <f aca="true" t="shared" si="32" ref="BE80:BE87">SUM(B80:BC80)</f>
        <v>375831318.858</v>
      </c>
      <c r="BF80" s="16"/>
      <c r="BG80" s="16">
        <f t="shared" si="29"/>
        <v>61216346.455</v>
      </c>
      <c r="BH80" s="16">
        <f t="shared" si="30"/>
        <v>314614972.403</v>
      </c>
      <c r="BI80" s="16"/>
    </row>
    <row r="81" spans="1:61" ht="11.25" customHeight="1" hidden="1" outlineLevel="1">
      <c r="A81" s="148" t="s">
        <v>235</v>
      </c>
      <c r="B81" s="157">
        <v>61556258</v>
      </c>
      <c r="C81" s="157">
        <v>17873775</v>
      </c>
      <c r="D81" s="157">
        <v>57867634</v>
      </c>
      <c r="E81" s="157">
        <v>37569452.473</v>
      </c>
      <c r="F81" s="157">
        <v>36931592</v>
      </c>
      <c r="G81" s="157">
        <v>24470357</v>
      </c>
      <c r="H81" s="157">
        <v>0</v>
      </c>
      <c r="I81" s="157">
        <v>18953049.693</v>
      </c>
      <c r="J81" s="157">
        <v>2542326.4</v>
      </c>
      <c r="K81" s="157">
        <v>20575082</v>
      </c>
      <c r="L81" s="157">
        <v>618269</v>
      </c>
      <c r="M81" s="157">
        <v>12099497</v>
      </c>
      <c r="N81" s="157">
        <v>7997871</v>
      </c>
      <c r="O81" s="157">
        <v>2300600</v>
      </c>
      <c r="P81" s="157">
        <v>10698945</v>
      </c>
      <c r="Q81" s="157">
        <v>1115204</v>
      </c>
      <c r="R81" s="157">
        <v>3283551</v>
      </c>
      <c r="S81" s="157">
        <v>4772267</v>
      </c>
      <c r="T81" s="157">
        <v>8243313</v>
      </c>
      <c r="U81" s="157">
        <v>6542517</v>
      </c>
      <c r="V81" s="157">
        <v>7432843</v>
      </c>
      <c r="W81" s="157">
        <v>7711740</v>
      </c>
      <c r="X81" s="157">
        <v>7527049</v>
      </c>
      <c r="Y81" s="157">
        <v>2530671</v>
      </c>
      <c r="Z81" s="157">
        <v>3762962.923</v>
      </c>
      <c r="AA81" s="157">
        <v>285313.102</v>
      </c>
      <c r="AB81" s="157">
        <v>7930051</v>
      </c>
      <c r="AC81" s="157">
        <v>4335958</v>
      </c>
      <c r="AD81" s="157">
        <v>23639.223</v>
      </c>
      <c r="AE81" s="8">
        <v>2512560</v>
      </c>
      <c r="AF81" s="157">
        <v>6516414.688</v>
      </c>
      <c r="AG81" s="157">
        <v>1736097</v>
      </c>
      <c r="AH81" s="157">
        <v>581643.49</v>
      </c>
      <c r="AI81" s="157">
        <v>1759637</v>
      </c>
      <c r="AJ81" s="157">
        <v>175390</v>
      </c>
      <c r="AK81" s="157">
        <v>1218573</v>
      </c>
      <c r="AL81" s="157">
        <v>848124</v>
      </c>
      <c r="AM81" s="157">
        <v>744952</v>
      </c>
      <c r="AN81" s="157">
        <v>10040</v>
      </c>
      <c r="AO81" s="157">
        <v>152264</v>
      </c>
      <c r="AP81" s="157">
        <v>1213071</v>
      </c>
      <c r="AQ81" s="157">
        <v>97293</v>
      </c>
      <c r="AR81" s="157">
        <v>581961</v>
      </c>
      <c r="AS81" s="157">
        <v>197565</v>
      </c>
      <c r="AT81" s="157">
        <v>179565</v>
      </c>
      <c r="AU81" s="16">
        <v>213707.336</v>
      </c>
      <c r="AV81" s="157">
        <v>139704</v>
      </c>
      <c r="AW81" s="157">
        <v>37933</v>
      </c>
      <c r="AX81" s="157">
        <v>386923</v>
      </c>
      <c r="AY81" s="157">
        <f>151253170/1000</f>
        <v>151253.17</v>
      </c>
      <c r="AZ81" s="157">
        <v>62968</v>
      </c>
      <c r="BA81" s="157">
        <v>16335</v>
      </c>
      <c r="BB81" s="157">
        <v>0</v>
      </c>
      <c r="BC81" s="157">
        <v>1495</v>
      </c>
      <c r="BE81" s="16">
        <f t="shared" si="32"/>
        <v>397087256.498</v>
      </c>
      <c r="BF81" s="16"/>
      <c r="BG81" s="16">
        <f t="shared" si="29"/>
        <v>76598708.66000001</v>
      </c>
      <c r="BH81" s="16">
        <f t="shared" si="30"/>
        <v>320488547.838</v>
      </c>
      <c r="BI81" s="16"/>
    </row>
    <row r="82" spans="1:61" ht="11.25" customHeight="1" hidden="1" outlineLevel="1">
      <c r="A82" s="16" t="s">
        <v>236</v>
      </c>
      <c r="B82" s="157">
        <v>17879648</v>
      </c>
      <c r="C82" s="157">
        <v>7740901</v>
      </c>
      <c r="D82" s="157">
        <v>23047282</v>
      </c>
      <c r="E82" s="157">
        <v>6865644.377</v>
      </c>
      <c r="F82" s="157">
        <v>3347948</v>
      </c>
      <c r="G82" s="157">
        <v>9664813</v>
      </c>
      <c r="H82" s="157">
        <v>0</v>
      </c>
      <c r="I82" s="157">
        <v>1250290.693</v>
      </c>
      <c r="J82" s="157">
        <v>0</v>
      </c>
      <c r="K82" s="157">
        <v>1096828</v>
      </c>
      <c r="L82" s="157">
        <v>358435</v>
      </c>
      <c r="M82" s="157">
        <v>6227883</v>
      </c>
      <c r="N82" s="157">
        <v>1273808</v>
      </c>
      <c r="O82" s="157">
        <v>839831</v>
      </c>
      <c r="P82" s="157">
        <v>2223051</v>
      </c>
      <c r="Q82" s="157">
        <v>231720</v>
      </c>
      <c r="R82" s="157">
        <v>2034779</v>
      </c>
      <c r="S82" s="157">
        <v>973472</v>
      </c>
      <c r="T82" s="157">
        <v>563242</v>
      </c>
      <c r="U82" s="157">
        <v>4002235</v>
      </c>
      <c r="V82" s="157">
        <v>1595350</v>
      </c>
      <c r="W82" s="157">
        <v>1166956</v>
      </c>
      <c r="X82" s="157">
        <v>0</v>
      </c>
      <c r="Y82" s="157">
        <v>743330</v>
      </c>
      <c r="Z82" s="157">
        <v>1563268.728</v>
      </c>
      <c r="AA82" s="157">
        <v>118529.217</v>
      </c>
      <c r="AB82" s="157">
        <v>4384</v>
      </c>
      <c r="AC82" s="157">
        <v>2020371</v>
      </c>
      <c r="AD82" s="157">
        <v>0</v>
      </c>
      <c r="AE82" s="8">
        <v>1169361</v>
      </c>
      <c r="AF82" s="157">
        <v>368555.21</v>
      </c>
      <c r="AG82" s="157">
        <v>659567</v>
      </c>
      <c r="AH82" s="157">
        <v>0</v>
      </c>
      <c r="AI82" s="157">
        <v>77116</v>
      </c>
      <c r="AJ82" s="157">
        <v>4464</v>
      </c>
      <c r="AK82" s="157">
        <v>538</v>
      </c>
      <c r="AL82" s="157">
        <v>58476</v>
      </c>
      <c r="AM82" s="157">
        <v>27772</v>
      </c>
      <c r="AN82" s="157">
        <v>0</v>
      </c>
      <c r="AO82" s="157">
        <v>473790</v>
      </c>
      <c r="AP82" s="157">
        <v>0</v>
      </c>
      <c r="AQ82" s="157">
        <v>20265</v>
      </c>
      <c r="AR82" s="157">
        <v>100178</v>
      </c>
      <c r="AS82" s="157">
        <v>0</v>
      </c>
      <c r="AT82" s="157">
        <v>0</v>
      </c>
      <c r="AU82" s="16">
        <v>27319.591</v>
      </c>
      <c r="AV82" s="157">
        <v>82089</v>
      </c>
      <c r="AW82" s="157">
        <v>1080</v>
      </c>
      <c r="AX82" s="157">
        <v>24174</v>
      </c>
      <c r="AY82" s="157">
        <f>12069827/1000</f>
        <v>12069.827</v>
      </c>
      <c r="AZ82" s="157">
        <v>4711</v>
      </c>
      <c r="BA82" s="157">
        <v>27069</v>
      </c>
      <c r="BB82" s="157">
        <v>0</v>
      </c>
      <c r="BC82" s="157">
        <v>2709</v>
      </c>
      <c r="BE82" s="16">
        <f t="shared" si="32"/>
        <v>99975303.643</v>
      </c>
      <c r="BF82" s="16"/>
      <c r="BG82" s="16">
        <f t="shared" si="29"/>
        <v>22202448.827</v>
      </c>
      <c r="BH82" s="16">
        <f t="shared" si="30"/>
        <v>77772854.816</v>
      </c>
      <c r="BI82" s="16"/>
    </row>
    <row r="83" spans="1:61" ht="11.25" customHeight="1" hidden="1" outlineLevel="1">
      <c r="A83" s="16" t="s">
        <v>237</v>
      </c>
      <c r="B83" s="157">
        <v>0</v>
      </c>
      <c r="C83" s="157">
        <v>0</v>
      </c>
      <c r="D83" s="157">
        <v>0</v>
      </c>
      <c r="E83" s="157">
        <v>0</v>
      </c>
      <c r="F83" s="157">
        <v>0</v>
      </c>
      <c r="G83" s="157">
        <v>22289</v>
      </c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57">
        <v>23372</v>
      </c>
      <c r="N83" s="157">
        <v>0</v>
      </c>
      <c r="O83" s="157">
        <v>0</v>
      </c>
      <c r="P83" s="157">
        <v>12711</v>
      </c>
      <c r="Q83" s="157">
        <v>1325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57">
        <v>0</v>
      </c>
      <c r="Y83" s="157">
        <v>546442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157">
        <v>0</v>
      </c>
      <c r="AO83" s="157">
        <v>0</v>
      </c>
      <c r="AP83" s="157">
        <v>0</v>
      </c>
      <c r="AQ83" s="157">
        <v>0</v>
      </c>
      <c r="AR83" s="157">
        <v>0</v>
      </c>
      <c r="AS83" s="157">
        <v>0</v>
      </c>
      <c r="AT83" s="157">
        <v>0</v>
      </c>
      <c r="AU83" s="157">
        <v>0</v>
      </c>
      <c r="AV83" s="157">
        <v>0</v>
      </c>
      <c r="AW83" s="157">
        <v>0</v>
      </c>
      <c r="AX83" s="157">
        <v>0</v>
      </c>
      <c r="AY83" s="157">
        <v>0</v>
      </c>
      <c r="AZ83" s="157">
        <v>0</v>
      </c>
      <c r="BA83" s="157">
        <v>0</v>
      </c>
      <c r="BB83" s="157">
        <v>0</v>
      </c>
      <c r="BC83" s="157">
        <v>0</v>
      </c>
      <c r="BE83" s="16">
        <f t="shared" si="32"/>
        <v>606139</v>
      </c>
      <c r="BF83" s="16"/>
      <c r="BG83" s="16">
        <f t="shared" si="29"/>
        <v>0</v>
      </c>
      <c r="BH83" s="16">
        <f t="shared" si="30"/>
        <v>606139</v>
      </c>
      <c r="BI83" s="16"/>
    </row>
    <row r="84" spans="1:61" ht="11.25" customHeight="1" hidden="1" outlineLevel="1">
      <c r="A84" s="148" t="s">
        <v>238</v>
      </c>
      <c r="B84" s="157">
        <v>0</v>
      </c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904783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157">
        <v>167696</v>
      </c>
      <c r="Q84" s="157">
        <v>17478</v>
      </c>
      <c r="R84" s="157">
        <v>0</v>
      </c>
      <c r="S84" s="157">
        <v>0</v>
      </c>
      <c r="T84" s="157">
        <v>0</v>
      </c>
      <c r="U84" s="157">
        <v>291834</v>
      </c>
      <c r="V84" s="157">
        <v>0</v>
      </c>
      <c r="W84" s="157">
        <v>467638</v>
      </c>
      <c r="X84" s="157">
        <v>745921</v>
      </c>
      <c r="Y84" s="157">
        <v>25644</v>
      </c>
      <c r="Z84" s="157">
        <v>768182.791</v>
      </c>
      <c r="AA84" s="157">
        <v>58244.692</v>
      </c>
      <c r="AB84" s="157">
        <v>302224</v>
      </c>
      <c r="AC84" s="157">
        <v>0</v>
      </c>
      <c r="AD84" s="157">
        <v>0</v>
      </c>
      <c r="AE84" s="157">
        <v>0</v>
      </c>
      <c r="AF84" s="157">
        <v>0</v>
      </c>
      <c r="AG84" s="157">
        <v>173611</v>
      </c>
      <c r="AH84" s="157">
        <v>0</v>
      </c>
      <c r="AI84" s="157">
        <v>0</v>
      </c>
      <c r="AJ84" s="157">
        <v>0</v>
      </c>
      <c r="AK84" s="157">
        <v>0</v>
      </c>
      <c r="AL84" s="157">
        <v>334462</v>
      </c>
      <c r="AM84" s="157">
        <v>0</v>
      </c>
      <c r="AN84" s="157">
        <v>0</v>
      </c>
      <c r="AO84" s="157">
        <v>0</v>
      </c>
      <c r="AP84" s="157">
        <v>306</v>
      </c>
      <c r="AQ84" s="157">
        <v>0</v>
      </c>
      <c r="AR84" s="157">
        <v>0</v>
      </c>
      <c r="AS84" s="157">
        <v>0</v>
      </c>
      <c r="AT84" s="157">
        <v>0</v>
      </c>
      <c r="AU84" s="16">
        <v>369442.014</v>
      </c>
      <c r="AV84" s="157">
        <v>0</v>
      </c>
      <c r="AW84" s="157">
        <v>0</v>
      </c>
      <c r="AX84" s="157">
        <v>0</v>
      </c>
      <c r="AY84" s="157">
        <f>29072461/1000</f>
        <v>29072.461</v>
      </c>
      <c r="AZ84" s="157">
        <v>27039</v>
      </c>
      <c r="BA84" s="157">
        <v>0</v>
      </c>
      <c r="BB84" s="157">
        <v>0</v>
      </c>
      <c r="BC84" s="157">
        <v>0</v>
      </c>
      <c r="BE84" s="16">
        <f t="shared" si="32"/>
        <v>4683577.958000001</v>
      </c>
      <c r="BF84" s="16"/>
      <c r="BG84" s="16">
        <f t="shared" si="29"/>
        <v>56417.460999999996</v>
      </c>
      <c r="BH84" s="16">
        <f t="shared" si="30"/>
        <v>4627160.497</v>
      </c>
      <c r="BI84" s="16"/>
    </row>
    <row r="85" spans="1:61" ht="11.25" customHeight="1" hidden="1" outlineLevel="1">
      <c r="A85" s="16" t="s">
        <v>233</v>
      </c>
      <c r="B85" s="157">
        <v>84</v>
      </c>
      <c r="C85" s="157">
        <v>0</v>
      </c>
      <c r="D85" s="157">
        <v>0</v>
      </c>
      <c r="E85" s="157">
        <v>0</v>
      </c>
      <c r="F85" s="157">
        <v>38890</v>
      </c>
      <c r="G85" s="157">
        <v>0</v>
      </c>
      <c r="H85" s="157">
        <v>0</v>
      </c>
      <c r="I85" s="157">
        <v>467840.159</v>
      </c>
      <c r="J85" s="157">
        <v>0</v>
      </c>
      <c r="K85" s="157">
        <v>5989</v>
      </c>
      <c r="L85" s="157">
        <v>0</v>
      </c>
      <c r="M85" s="157">
        <v>69625</v>
      </c>
      <c r="N85" s="157">
        <v>0</v>
      </c>
      <c r="O85" s="157">
        <v>0</v>
      </c>
      <c r="P85" s="157">
        <v>48582</v>
      </c>
      <c r="Q85" s="157">
        <v>5064</v>
      </c>
      <c r="R85" s="157">
        <v>1336</v>
      </c>
      <c r="S85" s="157">
        <v>893768</v>
      </c>
      <c r="T85" s="157">
        <v>23599</v>
      </c>
      <c r="U85" s="157">
        <v>0</v>
      </c>
      <c r="V85" s="157">
        <v>0</v>
      </c>
      <c r="W85" s="157">
        <v>5889</v>
      </c>
      <c r="X85" s="157">
        <v>130408</v>
      </c>
      <c r="Y85" s="157">
        <v>0</v>
      </c>
      <c r="Z85" s="157">
        <v>0</v>
      </c>
      <c r="AA85" s="157">
        <v>0</v>
      </c>
      <c r="AB85" s="157">
        <v>0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</v>
      </c>
      <c r="AN85" s="157">
        <v>0</v>
      </c>
      <c r="AO85" s="157">
        <v>0</v>
      </c>
      <c r="AP85" s="157">
        <v>0</v>
      </c>
      <c r="AQ85" s="157">
        <v>0</v>
      </c>
      <c r="AR85" s="157">
        <v>-1233</v>
      </c>
      <c r="AS85" s="157">
        <v>0</v>
      </c>
      <c r="AT85" s="157">
        <v>0</v>
      </c>
      <c r="AU85" s="157">
        <v>-5000</v>
      </c>
      <c r="AV85" s="157">
        <v>0</v>
      </c>
      <c r="AW85" s="157">
        <v>0</v>
      </c>
      <c r="AX85" s="157">
        <v>0</v>
      </c>
      <c r="AY85" s="157">
        <v>0</v>
      </c>
      <c r="AZ85" s="157">
        <v>0</v>
      </c>
      <c r="BA85" s="157">
        <v>0</v>
      </c>
      <c r="BB85" s="157">
        <v>0</v>
      </c>
      <c r="BC85" s="157">
        <v>0</v>
      </c>
      <c r="BE85" s="16">
        <f t="shared" si="32"/>
        <v>1684841.159</v>
      </c>
      <c r="BF85" s="16"/>
      <c r="BG85" s="16">
        <f t="shared" si="29"/>
        <v>-1149</v>
      </c>
      <c r="BH85" s="16">
        <f t="shared" si="30"/>
        <v>1685990.159</v>
      </c>
      <c r="BI85" s="16"/>
    </row>
    <row r="86" spans="1:61" ht="11.25" customHeight="1" hidden="1" outlineLevel="1">
      <c r="A86" s="223" t="s">
        <v>239</v>
      </c>
      <c r="B86" s="157">
        <f aca="true" t="shared" si="33" ref="B86:AO86">SUM(B80:B85)</f>
        <v>126451529</v>
      </c>
      <c r="C86" s="157">
        <f t="shared" si="33"/>
        <v>48397789</v>
      </c>
      <c r="D86" s="157">
        <f t="shared" si="33"/>
        <v>141476514</v>
      </c>
      <c r="E86" s="157">
        <f t="shared" si="33"/>
        <v>73957759.85</v>
      </c>
      <c r="F86" s="157">
        <f t="shared" si="33"/>
        <v>67008410</v>
      </c>
      <c r="G86" s="157">
        <f t="shared" si="33"/>
        <v>57385381</v>
      </c>
      <c r="H86" s="157">
        <f t="shared" si="33"/>
        <v>0</v>
      </c>
      <c r="I86" s="157">
        <f t="shared" si="33"/>
        <v>36810373.64000001</v>
      </c>
      <c r="J86" s="157">
        <f>SUM(J80:J85)</f>
        <v>5018988.8</v>
      </c>
      <c r="K86" s="157">
        <f t="shared" si="33"/>
        <v>32769365</v>
      </c>
      <c r="L86" s="157">
        <f t="shared" si="33"/>
        <v>6465552</v>
      </c>
      <c r="M86" s="157">
        <f t="shared" si="33"/>
        <v>26160354</v>
      </c>
      <c r="N86" s="157">
        <f t="shared" si="33"/>
        <v>19304077</v>
      </c>
      <c r="O86" s="157">
        <f t="shared" si="33"/>
        <v>5592348</v>
      </c>
      <c r="P86" s="157">
        <f t="shared" si="33"/>
        <v>20178750</v>
      </c>
      <c r="Q86" s="157">
        <f t="shared" si="33"/>
        <v>2103330</v>
      </c>
      <c r="R86" s="157">
        <f>SUM(R80:R85)</f>
        <v>18613406</v>
      </c>
      <c r="S86" s="157">
        <f t="shared" si="33"/>
        <v>17555111</v>
      </c>
      <c r="T86" s="157">
        <f t="shared" si="33"/>
        <v>17002981</v>
      </c>
      <c r="U86" s="157">
        <f t="shared" si="33"/>
        <v>16771321</v>
      </c>
      <c r="V86" s="157">
        <f>SUM(V80:V85)</f>
        <v>15220852</v>
      </c>
      <c r="W86" s="157">
        <f t="shared" si="33"/>
        <v>15132709</v>
      </c>
      <c r="X86" s="157">
        <f t="shared" si="33"/>
        <v>14684236</v>
      </c>
      <c r="Y86" s="157">
        <f t="shared" si="33"/>
        <v>13693673.4</v>
      </c>
      <c r="Z86" s="157">
        <f>SUM(Z80:Z85)</f>
        <v>10839018.354999999</v>
      </c>
      <c r="AA86" s="157">
        <f>SUM(AA80:AA85)</f>
        <v>821829.504</v>
      </c>
      <c r="AB86" s="157">
        <f>SUM(AB80:AB85)</f>
        <v>11033858</v>
      </c>
      <c r="AC86" s="157">
        <f t="shared" si="33"/>
        <v>7467275</v>
      </c>
      <c r="AD86" s="157">
        <f>SUM(AD80:AD85)</f>
        <v>1067753.3930000002</v>
      </c>
      <c r="AE86" s="157">
        <f t="shared" si="33"/>
        <v>10098965</v>
      </c>
      <c r="AF86" s="157">
        <f t="shared" si="33"/>
        <v>8663061.248000002</v>
      </c>
      <c r="AG86" s="157">
        <f t="shared" si="33"/>
        <v>7076697</v>
      </c>
      <c r="AH86" s="157">
        <f t="shared" si="33"/>
        <v>3991697.716</v>
      </c>
      <c r="AI86" s="157">
        <f t="shared" si="33"/>
        <v>2915582</v>
      </c>
      <c r="AJ86" s="157">
        <f t="shared" si="33"/>
        <v>183736</v>
      </c>
      <c r="AK86" s="157">
        <f t="shared" si="33"/>
        <v>2451066</v>
      </c>
      <c r="AL86" s="157">
        <f t="shared" si="33"/>
        <v>2439030</v>
      </c>
      <c r="AM86" s="157">
        <f t="shared" si="33"/>
        <v>2418160</v>
      </c>
      <c r="AN86" s="157">
        <f>SUM(AN80:AN85)</f>
        <v>163648</v>
      </c>
      <c r="AO86" s="157">
        <f t="shared" si="33"/>
        <v>1711784</v>
      </c>
      <c r="AP86" s="157">
        <f aca="true" t="shared" si="34" ref="AP86:BC86">SUM(AP80:AP85)</f>
        <v>1618589</v>
      </c>
      <c r="AQ86" s="157">
        <f t="shared" si="34"/>
        <v>1476718</v>
      </c>
      <c r="AR86" s="157">
        <f t="shared" si="34"/>
        <v>1300567</v>
      </c>
      <c r="AS86" s="157">
        <f t="shared" si="34"/>
        <v>944832</v>
      </c>
      <c r="AT86" s="157">
        <f t="shared" si="34"/>
        <v>703193</v>
      </c>
      <c r="AU86" s="157">
        <f t="shared" si="34"/>
        <v>612986.523</v>
      </c>
      <c r="AV86" s="157">
        <f t="shared" si="34"/>
        <v>543214</v>
      </c>
      <c r="AW86" s="157">
        <f t="shared" si="34"/>
        <v>511933</v>
      </c>
      <c r="AX86" s="157">
        <f t="shared" si="34"/>
        <v>411097</v>
      </c>
      <c r="AY86" s="157">
        <f t="shared" si="34"/>
        <v>394940.687</v>
      </c>
      <c r="AZ86" s="157">
        <f t="shared" si="34"/>
        <v>186148</v>
      </c>
      <c r="BA86" s="157">
        <f t="shared" si="34"/>
        <v>43404</v>
      </c>
      <c r="BB86" s="157">
        <f>SUM(BB80:BB85)</f>
        <v>8639</v>
      </c>
      <c r="BC86" s="157">
        <f t="shared" si="34"/>
        <v>14204</v>
      </c>
      <c r="BE86" s="16">
        <f t="shared" si="32"/>
        <v>879868437.1159999</v>
      </c>
      <c r="BF86" s="16"/>
      <c r="BG86" s="16">
        <f t="shared" si="29"/>
        <v>160072772.403</v>
      </c>
      <c r="BH86" s="16">
        <f t="shared" si="30"/>
        <v>719795664.7129999</v>
      </c>
      <c r="BI86" s="16"/>
    </row>
    <row r="87" spans="1:61" ht="11.25" customHeight="1" collapsed="1">
      <c r="A87" s="154" t="s">
        <v>240</v>
      </c>
      <c r="B87" s="157">
        <f aca="true" t="shared" si="35" ref="B87:AO87">SUM(B72:B85)</f>
        <v>126519075</v>
      </c>
      <c r="C87" s="157">
        <f t="shared" si="35"/>
        <v>48465335</v>
      </c>
      <c r="D87" s="157">
        <f t="shared" si="35"/>
        <v>141769904</v>
      </c>
      <c r="E87" s="157">
        <f t="shared" si="35"/>
        <v>74200272.85</v>
      </c>
      <c r="F87" s="157">
        <f t="shared" si="35"/>
        <v>67103084</v>
      </c>
      <c r="G87" s="157">
        <f t="shared" si="35"/>
        <v>57540190</v>
      </c>
      <c r="H87" s="157">
        <f t="shared" si="35"/>
        <v>0</v>
      </c>
      <c r="I87" s="157">
        <f t="shared" si="35"/>
        <v>36887173.64000001</v>
      </c>
      <c r="J87" s="157">
        <f>SUM(J72:J85)</f>
        <v>5018988.8</v>
      </c>
      <c r="K87" s="157">
        <f t="shared" si="35"/>
        <v>32769365</v>
      </c>
      <c r="L87" s="157">
        <f t="shared" si="35"/>
        <v>6465552</v>
      </c>
      <c r="M87" s="157">
        <f t="shared" si="35"/>
        <v>26230699</v>
      </c>
      <c r="N87" s="157">
        <f t="shared" si="35"/>
        <v>19304077</v>
      </c>
      <c r="O87" s="157">
        <f t="shared" si="35"/>
        <v>5592348</v>
      </c>
      <c r="P87" s="157">
        <f t="shared" si="35"/>
        <v>20241867</v>
      </c>
      <c r="Q87" s="157">
        <f t="shared" si="35"/>
        <v>2109909</v>
      </c>
      <c r="R87" s="157">
        <f>SUM(R72:R85)</f>
        <v>18613406</v>
      </c>
      <c r="S87" s="157">
        <f t="shared" si="35"/>
        <v>17615664</v>
      </c>
      <c r="T87" s="157">
        <f t="shared" si="35"/>
        <v>17039861</v>
      </c>
      <c r="U87" s="157">
        <f t="shared" si="35"/>
        <v>16771321</v>
      </c>
      <c r="V87" s="157">
        <f>SUM(V72:V85)</f>
        <v>15235862</v>
      </c>
      <c r="W87" s="157">
        <f t="shared" si="35"/>
        <v>15132709</v>
      </c>
      <c r="X87" s="157">
        <f t="shared" si="35"/>
        <v>14737189</v>
      </c>
      <c r="Y87" s="157">
        <f t="shared" si="35"/>
        <v>13693673.4</v>
      </c>
      <c r="Z87" s="157">
        <f>SUM(Z72:Z85)</f>
        <v>10839018.354999999</v>
      </c>
      <c r="AA87" s="157">
        <f>SUM(AA72:AA85)</f>
        <v>821829.504</v>
      </c>
      <c r="AB87" s="157">
        <f>SUM(AB72:AB85)</f>
        <v>11051826</v>
      </c>
      <c r="AC87" s="157">
        <f t="shared" si="35"/>
        <v>7467275</v>
      </c>
      <c r="AD87" s="157">
        <f>SUM(AD72:AD85)</f>
        <v>1067753.3930000002</v>
      </c>
      <c r="AE87" s="157">
        <f t="shared" si="35"/>
        <v>10098965</v>
      </c>
      <c r="AF87" s="157">
        <f t="shared" si="35"/>
        <v>8663061.248000002</v>
      </c>
      <c r="AG87" s="157">
        <f t="shared" si="35"/>
        <v>7088107</v>
      </c>
      <c r="AH87" s="157">
        <f t="shared" si="35"/>
        <v>3991697.716</v>
      </c>
      <c r="AI87" s="157">
        <f t="shared" si="35"/>
        <v>2915582</v>
      </c>
      <c r="AJ87" s="157">
        <f t="shared" si="35"/>
        <v>183736</v>
      </c>
      <c r="AK87" s="157">
        <f t="shared" si="35"/>
        <v>2463235</v>
      </c>
      <c r="AL87" s="157">
        <f t="shared" si="35"/>
        <v>2439030</v>
      </c>
      <c r="AM87" s="157">
        <f t="shared" si="35"/>
        <v>2418160</v>
      </c>
      <c r="AN87" s="157">
        <f>SUM(AN72:AN85)</f>
        <v>163648</v>
      </c>
      <c r="AO87" s="157">
        <f t="shared" si="35"/>
        <v>1711784</v>
      </c>
      <c r="AP87" s="157">
        <f aca="true" t="shared" si="36" ref="AP87:BC87">SUM(AP72:AP85)</f>
        <v>1618589</v>
      </c>
      <c r="AQ87" s="157">
        <f t="shared" si="36"/>
        <v>1476718</v>
      </c>
      <c r="AR87" s="157">
        <f t="shared" si="36"/>
        <v>1300567</v>
      </c>
      <c r="AS87" s="157">
        <f t="shared" si="36"/>
        <v>944832</v>
      </c>
      <c r="AT87" s="157">
        <f t="shared" si="36"/>
        <v>703193</v>
      </c>
      <c r="AU87" s="157">
        <f t="shared" si="36"/>
        <v>612986.523</v>
      </c>
      <c r="AV87" s="157">
        <f t="shared" si="36"/>
        <v>543214</v>
      </c>
      <c r="AW87" s="157">
        <f t="shared" si="36"/>
        <v>511933</v>
      </c>
      <c r="AX87" s="157">
        <f t="shared" si="36"/>
        <v>411097</v>
      </c>
      <c r="AY87" s="157">
        <f t="shared" si="36"/>
        <v>394940.687</v>
      </c>
      <c r="AZ87" s="157">
        <f t="shared" si="36"/>
        <v>186148</v>
      </c>
      <c r="BA87" s="157">
        <f t="shared" si="36"/>
        <v>43404</v>
      </c>
      <c r="BB87" s="157">
        <f>SUM(BB72:BB85)</f>
        <v>8639</v>
      </c>
      <c r="BC87" s="157">
        <f t="shared" si="36"/>
        <v>14204</v>
      </c>
      <c r="BE87" s="16">
        <f t="shared" si="32"/>
        <v>881212699.1159999</v>
      </c>
      <c r="BF87" s="16"/>
      <c r="BG87" s="16">
        <f t="shared" si="29"/>
        <v>160155328.403</v>
      </c>
      <c r="BH87" s="16">
        <f t="shared" si="30"/>
        <v>721057370.7129999</v>
      </c>
      <c r="BI87" s="16"/>
    </row>
    <row r="88" spans="1:61" ht="11.25" customHeight="1">
      <c r="A88" s="154"/>
      <c r="B88" s="157"/>
      <c r="C88" s="157"/>
      <c r="D88" s="16"/>
      <c r="E88" s="16"/>
      <c r="F88" s="16"/>
      <c r="G88" s="16"/>
      <c r="H88" s="16"/>
      <c r="I88" s="16"/>
      <c r="J88" s="15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59"/>
      <c r="AX88" s="16"/>
      <c r="AY88" s="16"/>
      <c r="AZ88" s="16"/>
      <c r="BA88" s="16"/>
      <c r="BB88" s="16"/>
      <c r="BC88" s="16"/>
      <c r="BE88" s="16"/>
      <c r="BF88" s="16"/>
      <c r="BG88" s="16"/>
      <c r="BH88" s="16"/>
      <c r="BI88" s="16"/>
    </row>
    <row r="89" spans="1:61" ht="11.25" customHeight="1" hidden="1" outlineLevel="1">
      <c r="A89" s="154" t="s">
        <v>241</v>
      </c>
      <c r="B89" s="157"/>
      <c r="C89" s="157"/>
      <c r="D89" s="159"/>
      <c r="E89" s="159"/>
      <c r="F89" s="159"/>
      <c r="G89" s="159"/>
      <c r="H89" s="159"/>
      <c r="I89" s="159"/>
      <c r="J89" s="157"/>
      <c r="K89" s="159"/>
      <c r="L89" s="158"/>
      <c r="N89" s="159"/>
      <c r="O89" s="159"/>
      <c r="P89" s="159"/>
      <c r="Q89" s="159"/>
      <c r="R89" s="158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G89" s="159"/>
      <c r="AH89" s="158"/>
      <c r="AI89" s="159"/>
      <c r="AJ89" s="159"/>
      <c r="AK89" s="159"/>
      <c r="AL89" s="159"/>
      <c r="AM89" s="168"/>
      <c r="AN89" s="159"/>
      <c r="AO89" s="159"/>
      <c r="AQ89" s="159"/>
      <c r="AS89" s="159"/>
      <c r="AT89" s="159"/>
      <c r="AV89" s="159"/>
      <c r="AW89" s="157"/>
      <c r="AX89" s="159"/>
      <c r="AY89" s="159"/>
      <c r="AZ89" s="159"/>
      <c r="BA89" s="159"/>
      <c r="BE89" s="16"/>
      <c r="BF89" s="16"/>
      <c r="BG89" s="16"/>
      <c r="BH89" s="16"/>
      <c r="BI89" s="16"/>
    </row>
    <row r="90" spans="1:61" ht="11.25" customHeight="1" hidden="1" outlineLevel="1">
      <c r="A90" s="148" t="s">
        <v>242</v>
      </c>
      <c r="B90" s="157">
        <v>0</v>
      </c>
      <c r="C90" s="157">
        <v>0</v>
      </c>
      <c r="D90" s="157">
        <v>0</v>
      </c>
      <c r="E90" s="157">
        <v>0</v>
      </c>
      <c r="F90" s="157">
        <v>0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47">
        <v>0</v>
      </c>
      <c r="U90" s="157">
        <v>-118914</v>
      </c>
      <c r="V90" s="157">
        <v>0</v>
      </c>
      <c r="W90" s="157">
        <v>0</v>
      </c>
      <c r="X90" s="157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-27316.75</v>
      </c>
      <c r="AE90" s="157">
        <v>0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157">
        <v>0</v>
      </c>
      <c r="AO90" s="157">
        <v>0</v>
      </c>
      <c r="AP90" s="157">
        <v>0</v>
      </c>
      <c r="AQ90" s="157">
        <v>0</v>
      </c>
      <c r="AR90" s="157">
        <v>0</v>
      </c>
      <c r="AS90" s="157">
        <v>0</v>
      </c>
      <c r="AT90" s="157">
        <v>0</v>
      </c>
      <c r="AU90" s="157">
        <v>0</v>
      </c>
      <c r="AV90" s="157">
        <v>0</v>
      </c>
      <c r="AW90" s="157">
        <v>0</v>
      </c>
      <c r="AX90" s="157">
        <v>0</v>
      </c>
      <c r="AY90" s="157">
        <v>0</v>
      </c>
      <c r="AZ90" s="157">
        <v>0</v>
      </c>
      <c r="BA90" s="157">
        <v>0</v>
      </c>
      <c r="BB90" s="157">
        <v>0</v>
      </c>
      <c r="BC90" s="157">
        <v>0</v>
      </c>
      <c r="BE90" s="16">
        <f>SUM(B90:BC90)</f>
        <v>-146230.75</v>
      </c>
      <c r="BF90" s="16"/>
      <c r="BG90" s="16">
        <f>+B90+AC90+AH90+AJ90+AO90+AP90+AR90+AS90+AV90+AY90+AZ90+BA90+BC90+V90</f>
        <v>0</v>
      </c>
      <c r="BH90" s="16">
        <f>+C90+D90+E90+F90+G90+H90+I90+J90+K90+L90+M90+N90+O90+P90+Q90+R90+S90+T90+U90+W90+X90+Y90+Z90+AA90+AB90+AD90+AE90+AF90+AG90+AI90+AK90+AL90+AM90+AN90+AQ90+AT90+AU90+AW90+AX90+BB90</f>
        <v>-146230.75</v>
      </c>
      <c r="BI90" s="16"/>
    </row>
    <row r="91" spans="1:61" ht="11.25" customHeight="1" hidden="1" outlineLevel="1">
      <c r="A91" s="148" t="s">
        <v>243</v>
      </c>
      <c r="B91" s="157">
        <v>298511</v>
      </c>
      <c r="C91" s="157">
        <v>137297</v>
      </c>
      <c r="D91" s="157">
        <v>978000</v>
      </c>
      <c r="E91" s="157">
        <v>500000</v>
      </c>
      <c r="F91" s="157">
        <v>129265</v>
      </c>
      <c r="G91" s="157">
        <v>183791</v>
      </c>
      <c r="H91" s="157">
        <v>71365</v>
      </c>
      <c r="I91" s="157">
        <v>248044.656</v>
      </c>
      <c r="J91" s="157">
        <v>974</v>
      </c>
      <c r="K91" s="157">
        <v>358615</v>
      </c>
      <c r="L91" s="157">
        <v>120761</v>
      </c>
      <c r="M91" s="157">
        <v>214861</v>
      </c>
      <c r="N91" s="157">
        <v>0</v>
      </c>
      <c r="O91" s="157">
        <v>0</v>
      </c>
      <c r="P91" s="157">
        <v>49665</v>
      </c>
      <c r="Q91" s="157">
        <v>5177</v>
      </c>
      <c r="R91" s="157">
        <v>0</v>
      </c>
      <c r="S91" s="157">
        <v>120338</v>
      </c>
      <c r="T91" s="157">
        <v>330540</v>
      </c>
      <c r="U91" s="157">
        <v>137715</v>
      </c>
      <c r="V91" s="157">
        <v>49145</v>
      </c>
      <c r="W91" s="157">
        <v>184025</v>
      </c>
      <c r="X91" s="157">
        <v>65924</v>
      </c>
      <c r="Y91" s="157">
        <v>52057.06</v>
      </c>
      <c r="Z91" s="157">
        <v>160268.893</v>
      </c>
      <c r="AA91" s="157">
        <v>12151.811</v>
      </c>
      <c r="AB91" s="157">
        <v>82347</v>
      </c>
      <c r="AC91" s="157">
        <v>3424792.825</v>
      </c>
      <c r="AD91" s="157">
        <v>13239.304</v>
      </c>
      <c r="AE91" s="8">
        <v>59824</v>
      </c>
      <c r="AF91" s="157">
        <v>0</v>
      </c>
      <c r="AG91" s="157">
        <v>44500</v>
      </c>
      <c r="AH91" s="157">
        <v>100000</v>
      </c>
      <c r="AI91" s="157">
        <v>0</v>
      </c>
      <c r="AJ91" s="157">
        <v>0</v>
      </c>
      <c r="AK91" s="157">
        <v>10741</v>
      </c>
      <c r="AL91" s="157">
        <v>14334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11148</v>
      </c>
      <c r="AS91" s="157">
        <v>0</v>
      </c>
      <c r="AT91" s="157">
        <v>0</v>
      </c>
      <c r="AU91" s="157">
        <v>0</v>
      </c>
      <c r="AV91" s="157">
        <v>1217</v>
      </c>
      <c r="AW91" s="157">
        <v>0</v>
      </c>
      <c r="AX91" s="157">
        <v>0</v>
      </c>
      <c r="AY91" s="157">
        <f>2418698/1000</f>
        <v>2418.698</v>
      </c>
      <c r="AZ91" s="157">
        <v>0</v>
      </c>
      <c r="BA91" s="157">
        <v>0</v>
      </c>
      <c r="BB91" s="157">
        <v>0</v>
      </c>
      <c r="BC91" s="157">
        <v>0</v>
      </c>
      <c r="BE91" s="16">
        <f>SUM(B91:BC91)</f>
        <v>8173053.2469999995</v>
      </c>
      <c r="BF91" s="16"/>
      <c r="BG91" s="16">
        <f>+B91+AC91+AH91+AJ91+AO91+AP91+AR91+AS91+AV91+AY91+AZ91+BA91+BC91+V91</f>
        <v>3887232.523</v>
      </c>
      <c r="BH91" s="16">
        <f>+C91+D91+E91+F91+G91+H91+I91+J91+K91+L91+M91+N91+O91+P91+Q91+R91+S91+T91+U91+W91+X91+Y91+Z91+AA91+AB91+AD91+AE91+AF91+AG91+AI91+AK91+AL91+AM91+AN91+AQ91+AT91+AU91+AW91+AX91+BB91</f>
        <v>4285820.724</v>
      </c>
      <c r="BI91" s="16"/>
    </row>
    <row r="92" spans="1:61" ht="11.25" customHeight="1" hidden="1" outlineLevel="1">
      <c r="A92" s="16" t="s">
        <v>244</v>
      </c>
      <c r="B92" s="157">
        <v>149879</v>
      </c>
      <c r="C92" s="157">
        <v>67058</v>
      </c>
      <c r="D92" s="157">
        <v>832577</v>
      </c>
      <c r="E92" s="157">
        <v>448267.824</v>
      </c>
      <c r="F92" s="157">
        <v>500752</v>
      </c>
      <c r="G92" s="157">
        <v>32553</v>
      </c>
      <c r="H92" s="157">
        <v>1468859</v>
      </c>
      <c r="I92" s="157">
        <f>17490.371-1777.312</f>
        <v>15713.059</v>
      </c>
      <c r="J92" s="157">
        <v>134344</v>
      </c>
      <c r="K92" s="157">
        <v>0</v>
      </c>
      <c r="L92" s="157">
        <v>19396</v>
      </c>
      <c r="M92" s="157">
        <v>34513</v>
      </c>
      <c r="N92" s="157">
        <v>10834</v>
      </c>
      <c r="O92" s="157">
        <v>5100</v>
      </c>
      <c r="P92" s="157">
        <v>75305</v>
      </c>
      <c r="Q92" s="157">
        <v>7849</v>
      </c>
      <c r="R92" s="157">
        <v>5892</v>
      </c>
      <c r="S92" s="157">
        <v>40377</v>
      </c>
      <c r="T92" s="157">
        <f>124172+5213</f>
        <v>129385</v>
      </c>
      <c r="U92" s="157">
        <v>3199</v>
      </c>
      <c r="V92" s="157">
        <v>17973</v>
      </c>
      <c r="W92" s="157">
        <v>6868</v>
      </c>
      <c r="X92" s="157">
        <v>7894</v>
      </c>
      <c r="Y92" s="157">
        <v>12772.3</v>
      </c>
      <c r="Z92" s="157">
        <v>13053.179</v>
      </c>
      <c r="AA92" s="157">
        <v>989.71</v>
      </c>
      <c r="AB92" s="157">
        <v>74364</v>
      </c>
      <c r="AC92" s="157">
        <v>0</v>
      </c>
      <c r="AD92" s="157">
        <v>1578.858</v>
      </c>
      <c r="AE92" s="8">
        <v>6581</v>
      </c>
      <c r="AF92" s="157">
        <v>16582.004</v>
      </c>
      <c r="AG92" s="157">
        <v>0</v>
      </c>
      <c r="AH92" s="157">
        <v>3327</v>
      </c>
      <c r="AI92" s="157">
        <v>124</v>
      </c>
      <c r="AJ92" s="157">
        <v>997</v>
      </c>
      <c r="AK92" s="157">
        <v>1503</v>
      </c>
      <c r="AL92" s="157">
        <v>0</v>
      </c>
      <c r="AM92" s="157">
        <v>0</v>
      </c>
      <c r="AN92" s="157">
        <v>22335</v>
      </c>
      <c r="AO92" s="157">
        <v>18160</v>
      </c>
      <c r="AP92" s="157">
        <v>1635</v>
      </c>
      <c r="AQ92" s="157">
        <v>3365</v>
      </c>
      <c r="AR92" s="157">
        <v>0</v>
      </c>
      <c r="AS92" s="157">
        <v>2016</v>
      </c>
      <c r="AT92" s="157">
        <v>178</v>
      </c>
      <c r="AU92" s="157">
        <v>79.027</v>
      </c>
      <c r="AV92" s="157">
        <v>0</v>
      </c>
      <c r="AW92" s="157">
        <v>178</v>
      </c>
      <c r="AX92" s="157">
        <v>0</v>
      </c>
      <c r="AY92" s="157">
        <v>0</v>
      </c>
      <c r="AZ92" s="157">
        <v>0</v>
      </c>
      <c r="BA92" s="157">
        <v>0</v>
      </c>
      <c r="BB92" s="157">
        <v>0</v>
      </c>
      <c r="BC92" s="157">
        <v>0</v>
      </c>
      <c r="BE92" s="16">
        <f>SUM(B92:BC92)</f>
        <v>4194405.960999999</v>
      </c>
      <c r="BF92" s="16"/>
      <c r="BG92" s="16">
        <f>+B92+AC92+AH92+AJ92+AO92+AP92+AR92+AS92+AV92+AY92+AZ92+BA92+BC92+V92</f>
        <v>193987</v>
      </c>
      <c r="BH92" s="16">
        <f>+C92+D92+E92+F92+G92+H92+I92+J92+K92+L92+M92+N92+O92+P92+Q92+R92+S92+T92+U92+W92+X92+Y92+Z92+AA92+AB92+AD92+AE92+AF92+AG92+AI92+AK92+AL92+AM92+AN92+AQ92+AT92+AU92+AW92+AX92+BB92</f>
        <v>4000418.9609999997</v>
      </c>
      <c r="BI92" s="16"/>
    </row>
    <row r="93" spans="1:61" ht="11.25" customHeight="1" collapsed="1">
      <c r="A93" s="154" t="s">
        <v>245</v>
      </c>
      <c r="B93" s="157">
        <f aca="true" t="shared" si="37" ref="B93:AO93">SUM(B90:B92)</f>
        <v>448390</v>
      </c>
      <c r="C93" s="157">
        <f t="shared" si="37"/>
        <v>204355</v>
      </c>
      <c r="D93" s="157">
        <f t="shared" si="37"/>
        <v>1810577</v>
      </c>
      <c r="E93" s="157">
        <f t="shared" si="37"/>
        <v>948267.824</v>
      </c>
      <c r="F93" s="157">
        <f t="shared" si="37"/>
        <v>630017</v>
      </c>
      <c r="G93" s="157">
        <f t="shared" si="37"/>
        <v>216344</v>
      </c>
      <c r="H93" s="157">
        <f t="shared" si="37"/>
        <v>1540224</v>
      </c>
      <c r="I93" s="157">
        <f t="shared" si="37"/>
        <v>263757.71499999997</v>
      </c>
      <c r="J93" s="157">
        <f>SUM(J90:J92)</f>
        <v>135318</v>
      </c>
      <c r="K93" s="157">
        <f t="shared" si="37"/>
        <v>358615</v>
      </c>
      <c r="L93" s="157">
        <f t="shared" si="37"/>
        <v>140157</v>
      </c>
      <c r="M93" s="157">
        <f t="shared" si="37"/>
        <v>249374</v>
      </c>
      <c r="N93" s="157">
        <f t="shared" si="37"/>
        <v>10834</v>
      </c>
      <c r="O93" s="157">
        <f t="shared" si="37"/>
        <v>5100</v>
      </c>
      <c r="P93" s="157">
        <f>SUM(P90:P92)</f>
        <v>124970</v>
      </c>
      <c r="Q93" s="157">
        <f t="shared" si="37"/>
        <v>13026</v>
      </c>
      <c r="R93" s="157">
        <f>SUM(R90:R92)</f>
        <v>5892</v>
      </c>
      <c r="S93" s="157">
        <f t="shared" si="37"/>
        <v>160715</v>
      </c>
      <c r="T93" s="157">
        <f>SUM(T91:T92)</f>
        <v>459925</v>
      </c>
      <c r="U93" s="157">
        <f t="shared" si="37"/>
        <v>22000</v>
      </c>
      <c r="V93" s="157">
        <f>SUM(V90:V92)</f>
        <v>67118</v>
      </c>
      <c r="W93" s="157">
        <f t="shared" si="37"/>
        <v>190893</v>
      </c>
      <c r="X93" s="157">
        <f t="shared" si="37"/>
        <v>73818</v>
      </c>
      <c r="Y93" s="157">
        <f t="shared" si="37"/>
        <v>64829.36</v>
      </c>
      <c r="Z93" s="157">
        <f>SUM(Z90:Z92)</f>
        <v>173322.07200000001</v>
      </c>
      <c r="AA93" s="157">
        <f>SUM(AA90:AA92)</f>
        <v>13141.521</v>
      </c>
      <c r="AB93" s="157">
        <f>SUM(AB90:AB92)</f>
        <v>156711</v>
      </c>
      <c r="AC93" s="157">
        <f t="shared" si="37"/>
        <v>3424792.825</v>
      </c>
      <c r="AD93" s="157">
        <f>SUM(AD90:AD92)</f>
        <v>-12498.588</v>
      </c>
      <c r="AE93" s="157">
        <f t="shared" si="37"/>
        <v>66405</v>
      </c>
      <c r="AF93" s="157">
        <f t="shared" si="37"/>
        <v>16582.004</v>
      </c>
      <c r="AG93" s="157">
        <f t="shared" si="37"/>
        <v>44500</v>
      </c>
      <c r="AH93" s="157">
        <f t="shared" si="37"/>
        <v>103327</v>
      </c>
      <c r="AI93" s="157">
        <f t="shared" si="37"/>
        <v>124</v>
      </c>
      <c r="AJ93" s="157">
        <f t="shared" si="37"/>
        <v>997</v>
      </c>
      <c r="AK93" s="157">
        <f t="shared" si="37"/>
        <v>12244</v>
      </c>
      <c r="AL93" s="157">
        <f t="shared" si="37"/>
        <v>14334</v>
      </c>
      <c r="AM93" s="157">
        <f t="shared" si="37"/>
        <v>0</v>
      </c>
      <c r="AN93" s="157">
        <f>SUM(AN90:AN92)</f>
        <v>22335</v>
      </c>
      <c r="AO93" s="157">
        <f t="shared" si="37"/>
        <v>18160</v>
      </c>
      <c r="AP93" s="157">
        <f aca="true" t="shared" si="38" ref="AP93:BC93">SUM(AP90:AP92)</f>
        <v>1635</v>
      </c>
      <c r="AQ93" s="157">
        <f t="shared" si="38"/>
        <v>3365</v>
      </c>
      <c r="AR93" s="157">
        <f t="shared" si="38"/>
        <v>11148</v>
      </c>
      <c r="AS93" s="157">
        <f t="shared" si="38"/>
        <v>2016</v>
      </c>
      <c r="AT93" s="157">
        <f t="shared" si="38"/>
        <v>178</v>
      </c>
      <c r="AU93" s="157">
        <f t="shared" si="38"/>
        <v>79.027</v>
      </c>
      <c r="AV93" s="157">
        <f t="shared" si="38"/>
        <v>1217</v>
      </c>
      <c r="AW93" s="157">
        <f t="shared" si="38"/>
        <v>178</v>
      </c>
      <c r="AX93" s="157">
        <f t="shared" si="38"/>
        <v>0</v>
      </c>
      <c r="AY93" s="157">
        <f t="shared" si="38"/>
        <v>2418.698</v>
      </c>
      <c r="AZ93" s="157">
        <f t="shared" si="38"/>
        <v>0</v>
      </c>
      <c r="BA93" s="157">
        <f t="shared" si="38"/>
        <v>0</v>
      </c>
      <c r="BB93" s="157">
        <f>SUM(BB90:BB92)</f>
        <v>0</v>
      </c>
      <c r="BC93" s="157">
        <f t="shared" si="38"/>
        <v>0</v>
      </c>
      <c r="BE93" s="16">
        <f>SUM(B93:BC93)</f>
        <v>12221228.458</v>
      </c>
      <c r="BF93" s="16"/>
      <c r="BG93" s="16">
        <f>+B93+AC93+AH93+AJ93+AO93+AP93+AR93+AS93+AV93+AY93+AZ93+BA93+BC93+V93</f>
        <v>4081219.523</v>
      </c>
      <c r="BH93" s="16">
        <f>+C93+D93+E93+F93+G93+H93+I93+J93+K93+L93+M93+N93+O93+P93+Q93+R93+S93+T93+U93+W93+X93+Y93+Z93+AA93+AB93+AD93+AE93+AF93+AG93+AI93+AK93+AL93+AM93+AN93+AQ93+AT93+AU93+AW93+AX93+BB93</f>
        <v>8140008.934999999</v>
      </c>
      <c r="BI93" s="16"/>
    </row>
    <row r="94" spans="1:61" ht="11.25" customHeight="1">
      <c r="A94" s="154"/>
      <c r="B94" s="157"/>
      <c r="C94" s="157"/>
      <c r="D94" s="159"/>
      <c r="E94" s="159"/>
      <c r="F94" s="159"/>
      <c r="G94" s="159"/>
      <c r="H94" s="159"/>
      <c r="I94" s="16"/>
      <c r="J94" s="159"/>
      <c r="K94" s="159"/>
      <c r="L94" s="157"/>
      <c r="N94" s="159"/>
      <c r="O94" s="159"/>
      <c r="P94" s="159"/>
      <c r="Q94" s="159"/>
      <c r="R94" s="158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G94" s="159"/>
      <c r="AH94" s="158"/>
      <c r="AI94" s="159"/>
      <c r="AJ94" s="159"/>
      <c r="AK94" s="159"/>
      <c r="AL94" s="159"/>
      <c r="AM94" s="168"/>
      <c r="AN94" s="159"/>
      <c r="AO94" s="159"/>
      <c r="AQ94" s="159"/>
      <c r="AS94" s="159"/>
      <c r="AT94" s="159"/>
      <c r="AV94" s="159"/>
      <c r="AW94" s="159"/>
      <c r="AX94" s="159"/>
      <c r="AY94" s="159"/>
      <c r="AZ94" s="159"/>
      <c r="BA94" s="159"/>
      <c r="BE94" s="16"/>
      <c r="BF94" s="16"/>
      <c r="BG94" s="16"/>
      <c r="BH94" s="16"/>
      <c r="BI94" s="16"/>
    </row>
    <row r="95" spans="1:61" ht="11.25" customHeight="1" hidden="1" outlineLevel="1">
      <c r="A95" s="154" t="s">
        <v>246</v>
      </c>
      <c r="B95" s="157"/>
      <c r="C95" s="157"/>
      <c r="D95" s="159"/>
      <c r="E95" s="159"/>
      <c r="F95" s="159"/>
      <c r="G95" s="159"/>
      <c r="H95" s="159"/>
      <c r="I95" s="159"/>
      <c r="J95" s="159"/>
      <c r="K95" s="159"/>
      <c r="L95" s="158"/>
      <c r="N95" s="159"/>
      <c r="O95" s="159"/>
      <c r="P95" s="159"/>
      <c r="Q95" s="159"/>
      <c r="R95" s="158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G95" s="159"/>
      <c r="AH95" s="158"/>
      <c r="AI95" s="159"/>
      <c r="AJ95" s="159"/>
      <c r="AK95" s="159"/>
      <c r="AL95" s="159"/>
      <c r="AM95" s="168"/>
      <c r="AN95" s="159"/>
      <c r="AO95" s="159"/>
      <c r="AQ95" s="159"/>
      <c r="AS95" s="159"/>
      <c r="AT95" s="159"/>
      <c r="AV95" s="159"/>
      <c r="AW95" s="159"/>
      <c r="AX95" s="159"/>
      <c r="AY95" s="159"/>
      <c r="AZ95" s="159"/>
      <c r="BA95" s="159"/>
      <c r="BE95" s="16"/>
      <c r="BF95" s="16"/>
      <c r="BG95" s="16"/>
      <c r="BH95" s="16"/>
      <c r="BI95" s="16"/>
    </row>
    <row r="96" spans="1:61" ht="11.25" customHeight="1" hidden="1" outlineLevel="1">
      <c r="A96" s="148" t="s">
        <v>247</v>
      </c>
      <c r="B96" s="157">
        <v>9377</v>
      </c>
      <c r="C96" s="157">
        <v>9377</v>
      </c>
      <c r="D96" s="157">
        <v>70410</v>
      </c>
      <c r="E96" s="157">
        <v>19636.831</v>
      </c>
      <c r="F96" s="157">
        <v>4916</v>
      </c>
      <c r="G96" s="157">
        <v>10485</v>
      </c>
      <c r="H96" s="157">
        <v>0</v>
      </c>
      <c r="I96" s="157">
        <v>4125</v>
      </c>
      <c r="J96" s="157">
        <v>0</v>
      </c>
      <c r="K96" s="157">
        <v>6120</v>
      </c>
      <c r="L96" s="157">
        <v>0</v>
      </c>
      <c r="M96" s="157">
        <v>16324</v>
      </c>
      <c r="N96" s="157">
        <v>1450</v>
      </c>
      <c r="O96" s="157">
        <v>132</v>
      </c>
      <c r="P96" s="157">
        <v>14808</v>
      </c>
      <c r="Q96" s="157">
        <v>1544</v>
      </c>
      <c r="R96" s="157">
        <v>0</v>
      </c>
      <c r="S96" s="157">
        <v>3595</v>
      </c>
      <c r="T96" s="157">
        <v>3046</v>
      </c>
      <c r="U96" s="157">
        <v>8686</v>
      </c>
      <c r="V96" s="157">
        <v>2084</v>
      </c>
      <c r="W96" s="157">
        <v>1901</v>
      </c>
      <c r="X96" s="157">
        <v>2755</v>
      </c>
      <c r="Y96" s="157">
        <v>2430</v>
      </c>
      <c r="Z96" s="157">
        <v>11585.035</v>
      </c>
      <c r="AA96" s="157">
        <v>878.393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1044</v>
      </c>
      <c r="AH96" s="157">
        <v>0</v>
      </c>
      <c r="AI96" s="157">
        <v>0</v>
      </c>
      <c r="AJ96" s="157">
        <v>0</v>
      </c>
      <c r="AK96" s="157">
        <v>1112</v>
      </c>
      <c r="AL96" s="157">
        <v>0</v>
      </c>
      <c r="AM96" s="157">
        <v>0</v>
      </c>
      <c r="AN96" s="157">
        <v>0</v>
      </c>
      <c r="AO96" s="157">
        <v>0</v>
      </c>
      <c r="AP96" s="157">
        <v>0</v>
      </c>
      <c r="AQ96" s="157">
        <v>0</v>
      </c>
      <c r="AR96" s="157">
        <v>0</v>
      </c>
      <c r="AS96" s="157">
        <v>0</v>
      </c>
      <c r="AT96" s="157">
        <v>0</v>
      </c>
      <c r="AU96" s="157">
        <v>0</v>
      </c>
      <c r="AV96" s="157">
        <v>0</v>
      </c>
      <c r="AW96" s="157">
        <v>0</v>
      </c>
      <c r="AX96" s="157">
        <v>0</v>
      </c>
      <c r="AY96" s="157">
        <v>0</v>
      </c>
      <c r="AZ96" s="157">
        <v>0</v>
      </c>
      <c r="BA96" s="157">
        <v>0</v>
      </c>
      <c r="BB96" s="157">
        <v>0</v>
      </c>
      <c r="BC96" s="157">
        <v>0</v>
      </c>
      <c r="BE96" s="16">
        <f>SUM(B96:BC96)</f>
        <v>207821.25900000002</v>
      </c>
      <c r="BF96" s="16"/>
      <c r="BG96" s="16">
        <f>+B96+AC96+AH96+AJ96+AO96+AP96+AR96+AS96+AV96+AY96+AZ96+BA96+BC96+V96</f>
        <v>11461</v>
      </c>
      <c r="BH96" s="16">
        <f>+C96+D96+E96+F96+G96+H96+I96+J96+K96+L96+M96+N96+O96+P96+Q96+R96+S96+T96+U96+W96+X96+Y96+Z96+AA96+AB96+AD96+AE96+AF96+AG96+AI96+AK96+AL96+AM96+AN96+AQ96+AT96+AU96+AW96+AX96+BB96</f>
        <v>196360.25900000002</v>
      </c>
      <c r="BI96" s="16"/>
    </row>
    <row r="97" spans="1:61" ht="11.25" customHeight="1" hidden="1" outlineLevel="1">
      <c r="A97" s="148" t="s">
        <v>248</v>
      </c>
      <c r="B97" s="157">
        <v>1517552</v>
      </c>
      <c r="C97" s="157">
        <v>0</v>
      </c>
      <c r="D97" s="157">
        <v>4296914</v>
      </c>
      <c r="E97" s="157">
        <v>975438.8</v>
      </c>
      <c r="F97" s="157">
        <v>550815</v>
      </c>
      <c r="G97" s="157">
        <v>338516</v>
      </c>
      <c r="H97" s="157">
        <v>0</v>
      </c>
      <c r="I97" s="157">
        <v>864334</v>
      </c>
      <c r="J97" s="157">
        <v>28282</v>
      </c>
      <c r="K97" s="157">
        <v>485773</v>
      </c>
      <c r="L97" s="157">
        <v>40358</v>
      </c>
      <c r="M97" s="157">
        <v>334232</v>
      </c>
      <c r="N97" s="157">
        <v>264918</v>
      </c>
      <c r="O97" s="157">
        <v>260347</v>
      </c>
      <c r="P97" s="157">
        <v>421191</v>
      </c>
      <c r="Q97" s="157">
        <v>43903</v>
      </c>
      <c r="R97" s="157">
        <v>16899</v>
      </c>
      <c r="S97" s="157">
        <v>466837</v>
      </c>
      <c r="T97" s="157">
        <v>183543</v>
      </c>
      <c r="U97" s="157">
        <v>9533</v>
      </c>
      <c r="V97" s="157">
        <v>218842</v>
      </c>
      <c r="W97" s="157">
        <v>113366</v>
      </c>
      <c r="X97" s="157">
        <v>104654</v>
      </c>
      <c r="Y97" s="157">
        <v>142368</v>
      </c>
      <c r="Z97" s="157">
        <v>141093.267</v>
      </c>
      <c r="AA97" s="157">
        <v>10697.888</v>
      </c>
      <c r="AB97" s="157">
        <v>25378</v>
      </c>
      <c r="AC97" s="157">
        <v>156544.623</v>
      </c>
      <c r="AD97" s="157">
        <v>261.032</v>
      </c>
      <c r="AE97" s="8">
        <v>39240</v>
      </c>
      <c r="AF97" s="157">
        <v>400909.559</v>
      </c>
      <c r="AG97" s="157">
        <v>68866</v>
      </c>
      <c r="AH97" s="157">
        <v>1150</v>
      </c>
      <c r="AI97" s="157">
        <v>21292</v>
      </c>
      <c r="AJ97" s="157">
        <v>195</v>
      </c>
      <c r="AK97" s="157">
        <v>484033</v>
      </c>
      <c r="AL97" s="157">
        <v>82735</v>
      </c>
      <c r="AM97" s="157">
        <v>1573</v>
      </c>
      <c r="AN97" s="157">
        <v>641</v>
      </c>
      <c r="AO97" s="157">
        <v>21412.538</v>
      </c>
      <c r="AP97" s="157">
        <v>8131</v>
      </c>
      <c r="AQ97" s="157">
        <v>1631</v>
      </c>
      <c r="AR97" s="157">
        <v>10</v>
      </c>
      <c r="AS97" s="157">
        <v>1655</v>
      </c>
      <c r="AT97" s="157">
        <v>348</v>
      </c>
      <c r="AU97" s="16">
        <v>1716.168</v>
      </c>
      <c r="AV97" s="157">
        <v>66015</v>
      </c>
      <c r="AW97" s="157">
        <v>1671</v>
      </c>
      <c r="AX97" s="157">
        <v>47699</v>
      </c>
      <c r="AY97" s="157">
        <f>5213861/1000</f>
        <v>5213.861</v>
      </c>
      <c r="AZ97" s="157">
        <v>27118</v>
      </c>
      <c r="BA97" s="157">
        <v>46792</v>
      </c>
      <c r="BB97" s="157">
        <v>50</v>
      </c>
      <c r="BC97" s="157">
        <v>43532</v>
      </c>
      <c r="BE97" s="16">
        <f>SUM(B97:BC97)</f>
        <v>13386219.736000001</v>
      </c>
      <c r="BF97" s="16"/>
      <c r="BG97" s="16">
        <f>+B97+AC97+AH97+AJ97+AO97+AP97+AR97+AS97+AV97+AY97+AZ97+BA97+BC97+V97</f>
        <v>2114163.022</v>
      </c>
      <c r="BH97" s="16">
        <f>+C97+D97+E97+F97+G97+H97+I97+J97+K97+L97+M97+N97+O97+P97+Q97+R97+S97+T97+U97+W97+X97+Y97+Z97+AA97+AB97+AD97+AE97+AF97+AG97+AI97+AK97+AL97+AM97+AN97+AQ97+AT97+AU97+AW97+AX97+BB97</f>
        <v>11272056.714000002</v>
      </c>
      <c r="BI97" s="16"/>
    </row>
    <row r="98" spans="1:61" ht="11.25" customHeight="1" hidden="1" outlineLevel="1">
      <c r="A98" s="16" t="s">
        <v>249</v>
      </c>
      <c r="B98" s="157">
        <v>0</v>
      </c>
      <c r="C98" s="157">
        <v>0</v>
      </c>
      <c r="D98" s="157">
        <v>0</v>
      </c>
      <c r="E98" s="157">
        <v>243205.639</v>
      </c>
      <c r="F98" s="157">
        <v>0</v>
      </c>
      <c r="G98" s="157"/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7">
        <v>0</v>
      </c>
      <c r="N98" s="157">
        <v>128814</v>
      </c>
      <c r="O98" s="157">
        <v>3036</v>
      </c>
      <c r="P98" s="157">
        <v>0</v>
      </c>
      <c r="Q98" s="157">
        <v>0</v>
      </c>
      <c r="R98" s="147">
        <v>0</v>
      </c>
      <c r="S98" s="157">
        <v>64224</v>
      </c>
      <c r="T98" s="157">
        <v>0</v>
      </c>
      <c r="U98" s="157">
        <v>0</v>
      </c>
      <c r="V98" s="157">
        <v>0</v>
      </c>
      <c r="W98" s="157">
        <v>0</v>
      </c>
      <c r="X98" s="157">
        <v>55556</v>
      </c>
      <c r="Y98" s="157">
        <v>5111.848</v>
      </c>
      <c r="Z98" s="157">
        <v>0</v>
      </c>
      <c r="AA98" s="157">
        <v>0</v>
      </c>
      <c r="AB98" s="157">
        <v>0</v>
      </c>
      <c r="AC98" s="157">
        <v>0</v>
      </c>
      <c r="AD98" s="157">
        <v>0</v>
      </c>
      <c r="AE98" s="8">
        <v>10676</v>
      </c>
      <c r="AF98" s="157">
        <v>0</v>
      </c>
      <c r="AG98" s="157">
        <v>123507</v>
      </c>
      <c r="AH98" s="157">
        <v>0</v>
      </c>
      <c r="AI98" s="157">
        <v>0</v>
      </c>
      <c r="AJ98" s="157">
        <v>0</v>
      </c>
      <c r="AK98" s="157">
        <v>0</v>
      </c>
      <c r="AL98" s="157">
        <v>6281</v>
      </c>
      <c r="AM98" s="157">
        <v>1067</v>
      </c>
      <c r="AN98" s="157">
        <v>89</v>
      </c>
      <c r="AO98" s="157">
        <v>0</v>
      </c>
      <c r="AP98" s="157">
        <v>0</v>
      </c>
      <c r="AQ98" s="157">
        <v>889</v>
      </c>
      <c r="AR98" s="157">
        <v>0</v>
      </c>
      <c r="AS98" s="157">
        <v>0</v>
      </c>
      <c r="AT98" s="157">
        <v>0</v>
      </c>
      <c r="AU98" s="157">
        <v>0</v>
      </c>
      <c r="AV98" s="157">
        <v>0</v>
      </c>
      <c r="AW98" s="157">
        <v>0</v>
      </c>
      <c r="AX98" s="157">
        <v>0</v>
      </c>
      <c r="AY98" s="157">
        <v>0</v>
      </c>
      <c r="AZ98" s="157">
        <v>0</v>
      </c>
      <c r="BA98" s="157">
        <v>0</v>
      </c>
      <c r="BB98" s="157">
        <v>0</v>
      </c>
      <c r="BC98" s="157">
        <v>0</v>
      </c>
      <c r="BE98" s="16">
        <f>SUM(B98:BC98)</f>
        <v>642456.487</v>
      </c>
      <c r="BF98" s="16"/>
      <c r="BG98" s="16">
        <f>+B98+AC98+AH98+AJ98+AO98+AP98+AR98+AS98+AV98+AY98+AZ98+BA98+BC98+V98</f>
        <v>0</v>
      </c>
      <c r="BH98" s="16">
        <f>+C98+D98+E98+F98+G98+H98+I98+J98+K98+L98+M98+N98+O98+P98+Q98+R98+S98+T98+U98+W98+X98+Y98+Z98+AA98+AB98+AD98+AE98+AF98+AG98+AI98+AK98+AL98+AM98+AN98+AQ98+AT98+AU98+AW98+AX98+BB98</f>
        <v>642456.487</v>
      </c>
      <c r="BI98" s="16"/>
    </row>
    <row r="99" spans="1:61" ht="11.25" customHeight="1" collapsed="1">
      <c r="A99" s="154" t="s">
        <v>250</v>
      </c>
      <c r="B99" s="157">
        <f aca="true" t="shared" si="39" ref="B99:S99">SUM(B96:B98)</f>
        <v>1526929</v>
      </c>
      <c r="C99" s="157">
        <f t="shared" si="39"/>
        <v>9377</v>
      </c>
      <c r="D99" s="157">
        <f t="shared" si="39"/>
        <v>4367324</v>
      </c>
      <c r="E99" s="157">
        <f t="shared" si="39"/>
        <v>1238281.27</v>
      </c>
      <c r="F99" s="157">
        <f t="shared" si="39"/>
        <v>555731</v>
      </c>
      <c r="G99" s="157">
        <f t="shared" si="39"/>
        <v>349001</v>
      </c>
      <c r="H99" s="157">
        <f t="shared" si="39"/>
        <v>0</v>
      </c>
      <c r="I99" s="157">
        <f t="shared" si="39"/>
        <v>868459</v>
      </c>
      <c r="J99" s="157">
        <f>SUM(J96:J98)</f>
        <v>28282</v>
      </c>
      <c r="K99" s="157">
        <f t="shared" si="39"/>
        <v>491893</v>
      </c>
      <c r="L99" s="157">
        <f t="shared" si="39"/>
        <v>40358</v>
      </c>
      <c r="M99" s="157">
        <f t="shared" si="39"/>
        <v>350556</v>
      </c>
      <c r="N99" s="157">
        <f t="shared" si="39"/>
        <v>395182</v>
      </c>
      <c r="O99" s="157">
        <f t="shared" si="39"/>
        <v>263515</v>
      </c>
      <c r="P99" s="157">
        <f t="shared" si="39"/>
        <v>435999</v>
      </c>
      <c r="Q99" s="157">
        <f t="shared" si="39"/>
        <v>45447</v>
      </c>
      <c r="R99" s="157">
        <f>SUM(R96:R97)</f>
        <v>16899</v>
      </c>
      <c r="S99" s="157">
        <f t="shared" si="39"/>
        <v>534656</v>
      </c>
      <c r="T99" s="157">
        <f aca="true" t="shared" si="40" ref="T99:AO99">SUM(T96:T98)</f>
        <v>186589</v>
      </c>
      <c r="U99" s="157">
        <f t="shared" si="40"/>
        <v>18219</v>
      </c>
      <c r="V99" s="157">
        <f>SUM(V96:V98)</f>
        <v>220926</v>
      </c>
      <c r="W99" s="157">
        <f t="shared" si="40"/>
        <v>115267</v>
      </c>
      <c r="X99" s="157">
        <f t="shared" si="40"/>
        <v>162965</v>
      </c>
      <c r="Y99" s="157">
        <f t="shared" si="40"/>
        <v>149909.848</v>
      </c>
      <c r="Z99" s="157">
        <f>SUM(Z96:Z98)</f>
        <v>152678.302</v>
      </c>
      <c r="AA99" s="157">
        <f>SUM(AA96:AA98)</f>
        <v>11576.281</v>
      </c>
      <c r="AB99" s="157">
        <f>SUM(AB96:AB98)</f>
        <v>25378</v>
      </c>
      <c r="AC99" s="157">
        <f t="shared" si="40"/>
        <v>156544.623</v>
      </c>
      <c r="AD99" s="157">
        <f>SUM(AD96:AD98)</f>
        <v>261.032</v>
      </c>
      <c r="AE99" s="157">
        <f t="shared" si="40"/>
        <v>49916</v>
      </c>
      <c r="AF99" s="157">
        <f t="shared" si="40"/>
        <v>400909.559</v>
      </c>
      <c r="AG99" s="157">
        <f t="shared" si="40"/>
        <v>193417</v>
      </c>
      <c r="AH99" s="157">
        <f t="shared" si="40"/>
        <v>1150</v>
      </c>
      <c r="AI99" s="157">
        <f t="shared" si="40"/>
        <v>21292</v>
      </c>
      <c r="AJ99" s="157">
        <f t="shared" si="40"/>
        <v>195</v>
      </c>
      <c r="AK99" s="157">
        <f t="shared" si="40"/>
        <v>485145</v>
      </c>
      <c r="AL99" s="157">
        <f t="shared" si="40"/>
        <v>89016</v>
      </c>
      <c r="AM99" s="157">
        <f t="shared" si="40"/>
        <v>2640</v>
      </c>
      <c r="AN99" s="157">
        <f>SUM(AN96:AN98)</f>
        <v>730</v>
      </c>
      <c r="AO99" s="157">
        <f t="shared" si="40"/>
        <v>21412.538</v>
      </c>
      <c r="AP99" s="157">
        <f aca="true" t="shared" si="41" ref="AP99:BC99">SUM(AP96:AP98)</f>
        <v>8131</v>
      </c>
      <c r="AQ99" s="157">
        <f t="shared" si="41"/>
        <v>2520</v>
      </c>
      <c r="AR99" s="157">
        <f t="shared" si="41"/>
        <v>10</v>
      </c>
      <c r="AS99" s="157">
        <f t="shared" si="41"/>
        <v>1655</v>
      </c>
      <c r="AT99" s="157">
        <f t="shared" si="41"/>
        <v>348</v>
      </c>
      <c r="AU99" s="157">
        <f t="shared" si="41"/>
        <v>1716.168</v>
      </c>
      <c r="AV99" s="157">
        <f t="shared" si="41"/>
        <v>66015</v>
      </c>
      <c r="AW99" s="157">
        <f t="shared" si="41"/>
        <v>1671</v>
      </c>
      <c r="AX99" s="157">
        <f t="shared" si="41"/>
        <v>47699</v>
      </c>
      <c r="AY99" s="157">
        <f t="shared" si="41"/>
        <v>5213.861</v>
      </c>
      <c r="AZ99" s="157">
        <f t="shared" si="41"/>
        <v>27118</v>
      </c>
      <c r="BA99" s="157">
        <f t="shared" si="41"/>
        <v>46792</v>
      </c>
      <c r="BB99" s="157">
        <f>SUM(BB96:BB98)</f>
        <v>50</v>
      </c>
      <c r="BC99" s="157">
        <f t="shared" si="41"/>
        <v>43532</v>
      </c>
      <c r="BE99" s="16">
        <f>SUM(B99:BC99)</f>
        <v>14236497.481999997</v>
      </c>
      <c r="BF99" s="16"/>
      <c r="BG99" s="16">
        <f>+B99+AC99+AH99+AJ99+AO99+AP99+AR99+AS99+AV99+AY99+AZ99+BA99+BC99+V99</f>
        <v>2125624.022</v>
      </c>
      <c r="BH99" s="16">
        <f>+C99+D99+E99+F99+G99+H99+I99+J99+K99+L99+M99+N99+O99+P99+Q99+R99+S99+T99+U99+W99+X99+Y99+Z99+AA99+AB99+AD99+AE99+AF99+AG99+AI99+AK99+AL99+AM99+AN99+AQ99+AT99+AU99+AW99+AX99+BB99</f>
        <v>12110873.459999997</v>
      </c>
      <c r="BI99" s="16"/>
    </row>
    <row r="100" spans="1:61" ht="11.25" customHeight="1">
      <c r="A100" s="169"/>
      <c r="B100" s="157"/>
      <c r="C100" s="157"/>
      <c r="D100" s="159"/>
      <c r="E100" s="159"/>
      <c r="F100" s="159"/>
      <c r="G100" s="159"/>
      <c r="H100" s="159"/>
      <c r="I100" s="159"/>
      <c r="J100" s="159"/>
      <c r="K100" s="159"/>
      <c r="L100" s="158"/>
      <c r="N100" s="159"/>
      <c r="O100" s="159"/>
      <c r="P100" s="159"/>
      <c r="Q100" s="159"/>
      <c r="R100" s="158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G100" s="159"/>
      <c r="AH100" s="158"/>
      <c r="AI100" s="159"/>
      <c r="AJ100" s="159"/>
      <c r="AK100" s="159"/>
      <c r="AL100" s="159"/>
      <c r="AM100" s="168"/>
      <c r="AN100" s="159"/>
      <c r="AO100" s="159"/>
      <c r="AQ100" s="159"/>
      <c r="AS100" s="159"/>
      <c r="AT100" s="159"/>
      <c r="AV100" s="159"/>
      <c r="AW100" s="159"/>
      <c r="AX100" s="159"/>
      <c r="AY100" s="159"/>
      <c r="AZ100" s="159"/>
      <c r="BA100" s="159"/>
      <c r="BE100" s="16"/>
      <c r="BF100" s="16"/>
      <c r="BG100" s="16"/>
      <c r="BH100" s="16"/>
      <c r="BI100" s="16"/>
    </row>
    <row r="101" spans="1:61" ht="11.25" customHeight="1">
      <c r="A101" s="149" t="s">
        <v>413</v>
      </c>
      <c r="B101" s="157">
        <v>0</v>
      </c>
      <c r="C101" s="157">
        <v>0</v>
      </c>
      <c r="D101" s="157">
        <v>0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6">
        <v>0</v>
      </c>
      <c r="M101" s="157">
        <v>0</v>
      </c>
      <c r="N101" s="157">
        <v>0</v>
      </c>
      <c r="O101" s="157">
        <v>0</v>
      </c>
      <c r="P101" s="157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>
        <v>0</v>
      </c>
      <c r="X101" s="157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57">
        <v>0</v>
      </c>
      <c r="AM101" s="157">
        <v>0</v>
      </c>
      <c r="AN101" s="157">
        <v>0</v>
      </c>
      <c r="AO101" s="157">
        <v>0</v>
      </c>
      <c r="AP101" s="157">
        <v>0</v>
      </c>
      <c r="AQ101" s="157">
        <v>0</v>
      </c>
      <c r="AR101" s="157">
        <v>0</v>
      </c>
      <c r="AS101" s="157">
        <v>0</v>
      </c>
      <c r="AT101" s="157">
        <v>0</v>
      </c>
      <c r="AU101" s="157">
        <v>0</v>
      </c>
      <c r="AV101" s="157">
        <v>0</v>
      </c>
      <c r="AW101" s="157">
        <v>0</v>
      </c>
      <c r="AX101" s="157">
        <v>0</v>
      </c>
      <c r="AY101" s="157">
        <v>0</v>
      </c>
      <c r="AZ101" s="157">
        <v>0</v>
      </c>
      <c r="BA101" s="157">
        <v>0</v>
      </c>
      <c r="BB101" s="157">
        <v>0</v>
      </c>
      <c r="BC101" s="157">
        <v>0</v>
      </c>
      <c r="BE101" s="16">
        <f>SUM(B101:BC101)</f>
        <v>0</v>
      </c>
      <c r="BF101" s="16"/>
      <c r="BG101" s="16">
        <f>+B101+AC101+AH101+AJ101+AO101+AP101+AR101+AS101+AV101+AY101+AZ101+BA101+BC101+V101</f>
        <v>0</v>
      </c>
      <c r="BH101" s="16">
        <f>+C101+D101+E101+F101+G101+H101+I101+J101+K101+L101+M101+N101+O101+P101+Q101+R101+S101+T101+U101+W101+X101+Y101+Z101+AA101+AB101+AD101+AE101+AF101+AG101+AI101+AK101+AL101+AM101+AN101+AQ101+AT101+AU101+AW101+AX101+BB101</f>
        <v>0</v>
      </c>
      <c r="BI101" s="16"/>
    </row>
    <row r="102" spans="1:61" ht="11.25" customHeight="1">
      <c r="A102" s="16"/>
      <c r="B102" s="157"/>
      <c r="C102" s="157"/>
      <c r="D102" s="159"/>
      <c r="E102" s="159"/>
      <c r="F102" s="159"/>
      <c r="G102" s="159"/>
      <c r="H102" s="159"/>
      <c r="I102" s="159"/>
      <c r="J102" s="159"/>
      <c r="K102" s="159"/>
      <c r="L102" s="158"/>
      <c r="N102" s="159"/>
      <c r="O102" s="159"/>
      <c r="P102" s="159"/>
      <c r="Q102" s="159"/>
      <c r="R102" s="158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G102" s="159"/>
      <c r="AH102" s="158"/>
      <c r="AI102" s="159"/>
      <c r="AJ102" s="159"/>
      <c r="AK102" s="159"/>
      <c r="AL102" s="159"/>
      <c r="AM102" s="168"/>
      <c r="AN102" s="159"/>
      <c r="AO102" s="159"/>
      <c r="AQ102" s="159"/>
      <c r="AS102" s="159"/>
      <c r="AT102" s="159"/>
      <c r="AV102" s="159"/>
      <c r="AW102" s="159"/>
      <c r="AX102" s="159"/>
      <c r="AY102" s="159"/>
      <c r="AZ102" s="159"/>
      <c r="BA102" s="159"/>
      <c r="BE102" s="16"/>
      <c r="BF102" s="16"/>
      <c r="BG102" s="16"/>
      <c r="BH102" s="16"/>
      <c r="BI102" s="16"/>
    </row>
    <row r="103" spans="1:61" s="151" customFormat="1" ht="11.25" customHeight="1">
      <c r="A103" s="221" t="s">
        <v>416</v>
      </c>
      <c r="B103" s="157">
        <f aca="true" t="shared" si="42" ref="B103:AO103">+B87+B93+B99+B101</f>
        <v>128494394</v>
      </c>
      <c r="C103" s="157">
        <f t="shared" si="42"/>
        <v>48679067</v>
      </c>
      <c r="D103" s="157">
        <f t="shared" si="42"/>
        <v>147947805</v>
      </c>
      <c r="E103" s="157">
        <f t="shared" si="42"/>
        <v>76386821.94399999</v>
      </c>
      <c r="F103" s="157">
        <f t="shared" si="42"/>
        <v>68288832</v>
      </c>
      <c r="G103" s="157">
        <f t="shared" si="42"/>
        <v>58105535</v>
      </c>
      <c r="H103" s="157">
        <f t="shared" si="42"/>
        <v>1540224</v>
      </c>
      <c r="I103" s="157">
        <f t="shared" si="42"/>
        <v>38019390.35500001</v>
      </c>
      <c r="J103" s="157">
        <f>+J87+J93+J99+J101</f>
        <v>5182588.8</v>
      </c>
      <c r="K103" s="157">
        <f t="shared" si="42"/>
        <v>33619873</v>
      </c>
      <c r="L103" s="157">
        <f t="shared" si="42"/>
        <v>6646067</v>
      </c>
      <c r="M103" s="157">
        <f t="shared" si="42"/>
        <v>26830629</v>
      </c>
      <c r="N103" s="157">
        <f t="shared" si="42"/>
        <v>19710093</v>
      </c>
      <c r="O103" s="157">
        <f t="shared" si="42"/>
        <v>5860963</v>
      </c>
      <c r="P103" s="157">
        <f>+P87+P93+P99+P101</f>
        <v>20802836</v>
      </c>
      <c r="Q103" s="157">
        <f t="shared" si="42"/>
        <v>2168382</v>
      </c>
      <c r="R103" s="157">
        <f>+R87+R93+R99+R101</f>
        <v>18636197</v>
      </c>
      <c r="S103" s="157">
        <f t="shared" si="42"/>
        <v>18311035</v>
      </c>
      <c r="T103" s="157">
        <f t="shared" si="42"/>
        <v>17686375</v>
      </c>
      <c r="U103" s="157">
        <f t="shared" si="42"/>
        <v>16811540</v>
      </c>
      <c r="V103" s="157">
        <f>+V87+V93+V99+V101</f>
        <v>15523906</v>
      </c>
      <c r="W103" s="157">
        <f t="shared" si="42"/>
        <v>15438869</v>
      </c>
      <c r="X103" s="157">
        <f t="shared" si="42"/>
        <v>14973972</v>
      </c>
      <c r="Y103" s="157">
        <f t="shared" si="42"/>
        <v>13908412.608</v>
      </c>
      <c r="Z103" s="157">
        <f>+Z87+Z93+Z99+Z101</f>
        <v>11165018.728999998</v>
      </c>
      <c r="AA103" s="157">
        <f>+AA87+AA93+AA99+AA101</f>
        <v>846547.3059999999</v>
      </c>
      <c r="AB103" s="157">
        <f>+AB87+AB93+AB99+AB101</f>
        <v>11233915</v>
      </c>
      <c r="AC103" s="157">
        <f t="shared" si="42"/>
        <v>11048612.447999999</v>
      </c>
      <c r="AD103" s="157">
        <f>+AD87+AD93+AD99+AD101</f>
        <v>1055515.837</v>
      </c>
      <c r="AE103" s="157">
        <f t="shared" si="42"/>
        <v>10215286</v>
      </c>
      <c r="AF103" s="157">
        <f t="shared" si="42"/>
        <v>9080552.811000003</v>
      </c>
      <c r="AG103" s="157">
        <f t="shared" si="42"/>
        <v>7326024</v>
      </c>
      <c r="AH103" s="157">
        <f t="shared" si="42"/>
        <v>4096174.716</v>
      </c>
      <c r="AI103" s="157">
        <f t="shared" si="42"/>
        <v>2936998</v>
      </c>
      <c r="AJ103" s="157">
        <f t="shared" si="42"/>
        <v>184928</v>
      </c>
      <c r="AK103" s="157">
        <f t="shared" si="42"/>
        <v>2960624</v>
      </c>
      <c r="AL103" s="157">
        <f t="shared" si="42"/>
        <v>2542380</v>
      </c>
      <c r="AM103" s="157">
        <f t="shared" si="42"/>
        <v>2420800</v>
      </c>
      <c r="AN103" s="157">
        <f>+AN87+AN93+AN99+AN101</f>
        <v>186713</v>
      </c>
      <c r="AO103" s="157">
        <f t="shared" si="42"/>
        <v>1751356.538</v>
      </c>
      <c r="AP103" s="157">
        <f aca="true" t="shared" si="43" ref="AP103:BC103">+AP87+AP93+AP99+AP101</f>
        <v>1628355</v>
      </c>
      <c r="AQ103" s="157">
        <f t="shared" si="43"/>
        <v>1482603</v>
      </c>
      <c r="AR103" s="157">
        <f t="shared" si="43"/>
        <v>1311725</v>
      </c>
      <c r="AS103" s="157">
        <f t="shared" si="43"/>
        <v>948503</v>
      </c>
      <c r="AT103" s="157">
        <f t="shared" si="43"/>
        <v>703719</v>
      </c>
      <c r="AU103" s="157">
        <f t="shared" si="43"/>
        <v>614781.718</v>
      </c>
      <c r="AV103" s="157">
        <f t="shared" si="43"/>
        <v>610446</v>
      </c>
      <c r="AW103" s="157">
        <f t="shared" si="43"/>
        <v>513782</v>
      </c>
      <c r="AX103" s="157">
        <f t="shared" si="43"/>
        <v>458796</v>
      </c>
      <c r="AY103" s="157">
        <f t="shared" si="43"/>
        <v>402573.2459999999</v>
      </c>
      <c r="AZ103" s="157">
        <f t="shared" si="43"/>
        <v>213266</v>
      </c>
      <c r="BA103" s="157">
        <f t="shared" si="43"/>
        <v>90196</v>
      </c>
      <c r="BB103" s="157">
        <f>+BB87+BB93+BB99+BB101</f>
        <v>8689</v>
      </c>
      <c r="BC103" s="157">
        <f t="shared" si="43"/>
        <v>57736</v>
      </c>
      <c r="BE103" s="16">
        <f>SUM(B103:BC103)</f>
        <v>907670425.056</v>
      </c>
      <c r="BF103" s="149"/>
      <c r="BG103" s="16">
        <f>+B103+AC103+AH103+AJ103+AO103+AP103+AR103+AS103+AV103+AY103+AZ103+BA103+BC103+V103</f>
        <v>166362171.94799998</v>
      </c>
      <c r="BH103" s="16">
        <f>+C103+D103+E103+F103+G103+H103+I103+J103+K103+L103+M103+N103+O103+P103+Q103+R103+S103+T103+U103+W103+X103+Y103+Z103+AA103+AB103+AD103+AE103+AF103+AG103+AI103+AK103+AL103+AM103+AN103+AQ103+AT103+AU103+AW103+AX103+BB103</f>
        <v>741308253.108</v>
      </c>
      <c r="BI103" s="149"/>
    </row>
    <row r="104" spans="1:61" ht="7.5" customHeight="1">
      <c r="A104" s="148"/>
      <c r="B104" s="157"/>
      <c r="C104" s="157"/>
      <c r="D104" s="159"/>
      <c r="E104" s="159"/>
      <c r="F104" s="159"/>
      <c r="G104" s="159"/>
      <c r="H104" s="159"/>
      <c r="I104" s="159"/>
      <c r="J104" s="159"/>
      <c r="K104" s="159"/>
      <c r="L104" s="158"/>
      <c r="N104" s="159"/>
      <c r="O104" s="159"/>
      <c r="P104" s="159"/>
      <c r="Q104" s="159"/>
      <c r="R104" s="158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G104" s="159"/>
      <c r="AH104" s="158"/>
      <c r="AI104" s="159"/>
      <c r="AJ104" s="159"/>
      <c r="AK104" s="159"/>
      <c r="AL104" s="159"/>
      <c r="AM104" s="168"/>
      <c r="AN104" s="159"/>
      <c r="AO104" s="159"/>
      <c r="AQ104" s="159"/>
      <c r="AS104" s="159"/>
      <c r="AT104" s="159"/>
      <c r="AV104" s="159"/>
      <c r="AW104" s="159"/>
      <c r="AX104" s="159"/>
      <c r="AY104" s="159"/>
      <c r="AZ104" s="159"/>
      <c r="BA104" s="159"/>
      <c r="BE104" s="16"/>
      <c r="BF104" s="16"/>
      <c r="BG104" s="16"/>
      <c r="BH104" s="16"/>
      <c r="BI104" s="16"/>
    </row>
    <row r="105" spans="1:61" ht="11.25" customHeight="1">
      <c r="A105" s="175" t="s">
        <v>414</v>
      </c>
      <c r="B105" s="157"/>
      <c r="C105" s="157"/>
      <c r="D105" s="159"/>
      <c r="E105" s="159"/>
      <c r="F105" s="159"/>
      <c r="G105" s="159"/>
      <c r="H105" s="159"/>
      <c r="I105" s="159"/>
      <c r="J105" s="159"/>
      <c r="K105" s="159"/>
      <c r="L105" s="158"/>
      <c r="N105" s="159"/>
      <c r="O105" s="159"/>
      <c r="P105" s="159"/>
      <c r="Q105" s="159"/>
      <c r="R105" s="158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G105" s="159"/>
      <c r="AH105" s="158"/>
      <c r="AI105" s="159"/>
      <c r="AJ105" s="159"/>
      <c r="AK105" s="159"/>
      <c r="AL105" s="159"/>
      <c r="AM105" s="168"/>
      <c r="AN105" s="159"/>
      <c r="AO105" s="159"/>
      <c r="AQ105" s="159"/>
      <c r="AS105" s="159"/>
      <c r="AT105" s="159"/>
      <c r="AV105" s="159"/>
      <c r="AW105" s="159"/>
      <c r="AX105" s="159"/>
      <c r="AY105" s="159"/>
      <c r="AZ105" s="159"/>
      <c r="BA105" s="159"/>
      <c r="BE105" s="16"/>
      <c r="BF105" s="16"/>
      <c r="BG105" s="16"/>
      <c r="BH105" s="16"/>
      <c r="BI105" s="16"/>
    </row>
    <row r="106" spans="1:61" ht="11.25" customHeight="1">
      <c r="A106" s="154" t="s">
        <v>403</v>
      </c>
      <c r="B106" s="157">
        <v>34505</v>
      </c>
      <c r="C106" s="157">
        <v>9483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4000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E106" s="16">
        <f>SUM(B106:BC106)</f>
        <v>47988</v>
      </c>
      <c r="BF106" s="16"/>
      <c r="BG106" s="16">
        <f>+B106+AC106+AH106+AJ106+AO106+AP106+AR106+AS106+AV106+AY106+AZ106+BA106+BC106+V106</f>
        <v>38505</v>
      </c>
      <c r="BH106" s="16">
        <f>+C106+D106+E106+F106+G106+H106+I106+J106+K106+L106+M106+N106+O106+P106+Q106+R106+S106+T106+U106+W106+X106+Y106+Z106+AA106+AB106+AD106+AE106+AF106+AG106+AI106+AK106+AL106+AM106+AN106+AQ106+AT106+AU106+AW106+AX106+BB106</f>
        <v>9483</v>
      </c>
      <c r="BI106" s="16"/>
    </row>
    <row r="107" spans="1:61" ht="11.25" customHeight="1">
      <c r="A107" s="154"/>
      <c r="B107" s="157"/>
      <c r="C107" s="157"/>
      <c r="D107" s="159"/>
      <c r="E107" s="159"/>
      <c r="F107" s="16"/>
      <c r="G107" s="159"/>
      <c r="H107" s="159"/>
      <c r="I107" s="16"/>
      <c r="J107" s="159"/>
      <c r="K107" s="159"/>
      <c r="L107" s="158"/>
      <c r="N107" s="159"/>
      <c r="O107" s="159"/>
      <c r="P107" s="159"/>
      <c r="Q107" s="159"/>
      <c r="R107" s="158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G107" s="159"/>
      <c r="AH107" s="158"/>
      <c r="AI107" s="159"/>
      <c r="AJ107" s="159"/>
      <c r="AK107" s="159"/>
      <c r="AL107" s="159"/>
      <c r="AM107" s="168"/>
      <c r="AN107" s="159"/>
      <c r="AO107" s="159"/>
      <c r="AQ107" s="159"/>
      <c r="AS107" s="159"/>
      <c r="AT107" s="159"/>
      <c r="AV107" s="159"/>
      <c r="AW107" s="159"/>
      <c r="AX107" s="159"/>
      <c r="AY107" s="159"/>
      <c r="AZ107" s="159"/>
      <c r="BA107" s="159"/>
      <c r="BE107" s="16"/>
      <c r="BF107" s="16"/>
      <c r="BG107" s="16"/>
      <c r="BH107" s="16"/>
      <c r="BI107" s="16"/>
    </row>
    <row r="108" spans="1:61" ht="11.25" customHeight="1" hidden="1" outlineLevel="1">
      <c r="A108" s="154" t="s">
        <v>475</v>
      </c>
      <c r="B108" s="157"/>
      <c r="C108" s="157"/>
      <c r="D108" s="159"/>
      <c r="E108" s="159"/>
      <c r="F108" s="159"/>
      <c r="G108" s="159"/>
      <c r="H108" s="159"/>
      <c r="I108" s="159"/>
      <c r="J108" s="159"/>
      <c r="K108" s="159"/>
      <c r="L108" s="158"/>
      <c r="N108" s="159"/>
      <c r="O108" s="159"/>
      <c r="P108" s="159"/>
      <c r="Q108" s="159"/>
      <c r="R108" s="158"/>
      <c r="U108" s="159"/>
      <c r="V108" s="159"/>
      <c r="W108" s="159"/>
      <c r="X108" s="159">
        <v>0</v>
      </c>
      <c r="Y108" s="159"/>
      <c r="Z108" s="159"/>
      <c r="AA108" s="159"/>
      <c r="AB108" s="159"/>
      <c r="AC108" s="159"/>
      <c r="AD108" s="159"/>
      <c r="AE108" s="159"/>
      <c r="AG108" s="159"/>
      <c r="AH108" s="158"/>
      <c r="AI108" s="159"/>
      <c r="AJ108" s="159"/>
      <c r="AK108" s="159"/>
      <c r="AL108" s="159"/>
      <c r="AM108" s="168"/>
      <c r="AN108" s="159"/>
      <c r="AO108" s="159"/>
      <c r="AQ108" s="159"/>
      <c r="AS108" s="159"/>
      <c r="AT108" s="159"/>
      <c r="AV108" s="159"/>
      <c r="AW108" s="159"/>
      <c r="AX108" s="159"/>
      <c r="AY108" s="159"/>
      <c r="AZ108" s="159"/>
      <c r="BA108" s="159"/>
      <c r="BE108" s="16"/>
      <c r="BF108" s="16"/>
      <c r="BG108" s="16"/>
      <c r="BH108" s="16"/>
      <c r="BI108" s="16"/>
    </row>
    <row r="109" spans="1:61" ht="11.25" customHeight="1" hidden="1" outlineLevel="1">
      <c r="A109" s="148" t="s">
        <v>256</v>
      </c>
      <c r="B109" s="157">
        <v>0</v>
      </c>
      <c r="C109" s="157">
        <v>0</v>
      </c>
      <c r="D109" s="157">
        <v>0</v>
      </c>
      <c r="E109" s="157">
        <v>26711.764</v>
      </c>
      <c r="F109" s="159">
        <v>0</v>
      </c>
      <c r="G109" s="159">
        <v>0</v>
      </c>
      <c r="H109" s="159">
        <v>0</v>
      </c>
      <c r="I109" s="157">
        <v>0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57">
        <v>0</v>
      </c>
      <c r="Y109" s="157">
        <v>0</v>
      </c>
      <c r="Z109" s="157">
        <v>0</v>
      </c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6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57">
        <v>0</v>
      </c>
      <c r="AM109" s="157">
        <v>0</v>
      </c>
      <c r="AN109" s="157">
        <v>0</v>
      </c>
      <c r="AO109" s="157">
        <v>0</v>
      </c>
      <c r="AP109" s="157">
        <v>0</v>
      </c>
      <c r="AQ109" s="157">
        <v>0</v>
      </c>
      <c r="AR109" s="157">
        <v>0</v>
      </c>
      <c r="AS109" s="157">
        <v>0</v>
      </c>
      <c r="AT109" s="157">
        <v>0</v>
      </c>
      <c r="AU109" s="157">
        <v>0</v>
      </c>
      <c r="AV109" s="157">
        <v>0</v>
      </c>
      <c r="AW109" s="157">
        <v>0</v>
      </c>
      <c r="AX109" s="157">
        <v>0</v>
      </c>
      <c r="AY109" s="157">
        <v>0</v>
      </c>
      <c r="AZ109" s="157">
        <v>0</v>
      </c>
      <c r="BA109" s="157">
        <v>0</v>
      </c>
      <c r="BB109" s="157">
        <v>0</v>
      </c>
      <c r="BC109" s="157">
        <v>0</v>
      </c>
      <c r="BE109" s="16">
        <f>SUM(B109:BC109)</f>
        <v>26711.764</v>
      </c>
      <c r="BF109" s="16"/>
      <c r="BG109" s="16">
        <f>+B109+AC109+AH109+AJ109+AO109+AP109+AR109+AS109+AV109+AY109+AZ109+BA109+BC109+V109</f>
        <v>0</v>
      </c>
      <c r="BH109" s="16">
        <f>+C109+D109+E109+F109+G109+H109+I109+J109+K109+L109+M109+N109+O109+P109+Q109+R109+S109+T109+U109+W109+X109+Y109+Z109+AA109+AB109+AD109+AE109+AF109+AG109+AI109+AK109+AL109+AM109+AN109+AQ109+AT109+AU109+AW109+AX109+BB109</f>
        <v>26711.764</v>
      </c>
      <c r="BI109" s="16"/>
    </row>
    <row r="110" spans="1:61" ht="11.25" customHeight="1" hidden="1" outlineLevel="1">
      <c r="A110" s="148" t="s">
        <v>257</v>
      </c>
      <c r="B110" s="157">
        <v>0</v>
      </c>
      <c r="C110" s="157">
        <v>147599.4</v>
      </c>
      <c r="D110" s="157">
        <v>0</v>
      </c>
      <c r="E110" s="157">
        <v>0</v>
      </c>
      <c r="F110" s="159">
        <v>0</v>
      </c>
      <c r="G110" s="159">
        <v>0</v>
      </c>
      <c r="H110" s="159">
        <v>0</v>
      </c>
      <c r="I110" s="157">
        <v>0</v>
      </c>
      <c r="J110" s="157">
        <v>7422.5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3545</v>
      </c>
      <c r="U110" s="157">
        <v>0</v>
      </c>
      <c r="V110" s="157">
        <v>0</v>
      </c>
      <c r="W110" s="157">
        <v>0</v>
      </c>
      <c r="X110" s="157">
        <v>0</v>
      </c>
      <c r="Y110" s="157">
        <v>0</v>
      </c>
      <c r="Z110" s="157">
        <v>0</v>
      </c>
      <c r="AA110" s="157">
        <v>0</v>
      </c>
      <c r="AB110" s="157">
        <v>0</v>
      </c>
      <c r="AC110" s="157">
        <v>0</v>
      </c>
      <c r="AD110" s="157">
        <v>0</v>
      </c>
      <c r="AE110" s="157">
        <v>0</v>
      </c>
      <c r="AF110" s="16">
        <v>0</v>
      </c>
      <c r="AG110" s="157">
        <v>0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57">
        <v>0</v>
      </c>
      <c r="AP110" s="157">
        <v>0</v>
      </c>
      <c r="AQ110" s="157">
        <v>0</v>
      </c>
      <c r="AR110" s="157">
        <v>3702</v>
      </c>
      <c r="AS110" s="157">
        <v>0</v>
      </c>
      <c r="AT110" s="157">
        <v>0</v>
      </c>
      <c r="AU110" s="157">
        <v>0</v>
      </c>
      <c r="AV110" s="157">
        <v>0</v>
      </c>
      <c r="AW110" s="157">
        <v>0</v>
      </c>
      <c r="AX110" s="157">
        <v>0</v>
      </c>
      <c r="AY110" s="157">
        <v>0</v>
      </c>
      <c r="AZ110" s="157">
        <v>0</v>
      </c>
      <c r="BA110" s="157">
        <v>0</v>
      </c>
      <c r="BB110" s="157">
        <v>0</v>
      </c>
      <c r="BC110" s="157">
        <v>0</v>
      </c>
      <c r="BE110" s="16">
        <f>SUM(B110:BC110)</f>
        <v>162268.9</v>
      </c>
      <c r="BF110" s="16"/>
      <c r="BG110" s="16">
        <f>+B110+AC110+AH110+AJ110+AO110+AP110+AR110+AS110+AV110+AY110+AZ110+BA110+BC110+V110</f>
        <v>3702</v>
      </c>
      <c r="BH110" s="16">
        <f>+C110+D110+E110+F110+G110+H110+I110+J110+K110+L110+M110+N110+O110+P110+Q110+R110+S110+T110+U110+W110+X110+Y110+Z110+AA110+AB110+AD110+AE110+AF110+AG110+AI110+AK110+AL110+AM110+AN110+AQ110+AT110+AU110+AW110+AX110+BB110</f>
        <v>158566.9</v>
      </c>
      <c r="BI110" s="16"/>
    </row>
    <row r="111" spans="1:61" ht="11.25" customHeight="1" hidden="1" outlineLevel="1">
      <c r="A111" s="16" t="s">
        <v>258</v>
      </c>
      <c r="B111" s="157">
        <v>0</v>
      </c>
      <c r="C111" s="157">
        <v>0</v>
      </c>
      <c r="D111" s="157">
        <v>0</v>
      </c>
      <c r="E111" s="157">
        <v>0</v>
      </c>
      <c r="F111" s="159">
        <v>0</v>
      </c>
      <c r="G111" s="159">
        <v>0</v>
      </c>
      <c r="H111" s="159">
        <v>0</v>
      </c>
      <c r="I111" s="157">
        <v>0</v>
      </c>
      <c r="J111" s="157">
        <v>73193.5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157">
        <v>0</v>
      </c>
      <c r="AD111" s="157">
        <v>0</v>
      </c>
      <c r="AE111" s="157">
        <v>0</v>
      </c>
      <c r="AF111" s="16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>
        <v>0</v>
      </c>
      <c r="AP111" s="157">
        <v>0</v>
      </c>
      <c r="AQ111" s="157">
        <v>0</v>
      </c>
      <c r="AR111" s="157">
        <v>0</v>
      </c>
      <c r="AS111" s="157">
        <v>0</v>
      </c>
      <c r="AT111" s="157">
        <v>0</v>
      </c>
      <c r="AU111" s="157">
        <v>0</v>
      </c>
      <c r="AV111" s="157">
        <v>0</v>
      </c>
      <c r="AW111" s="157">
        <v>0</v>
      </c>
      <c r="AX111" s="157">
        <v>0</v>
      </c>
      <c r="AY111" s="157">
        <v>0</v>
      </c>
      <c r="AZ111" s="157">
        <v>0</v>
      </c>
      <c r="BA111" s="157">
        <v>0</v>
      </c>
      <c r="BB111" s="157">
        <v>0</v>
      </c>
      <c r="BC111" s="157">
        <v>0</v>
      </c>
      <c r="BE111" s="16">
        <f>SUM(B111:BC111)</f>
        <v>73193.5</v>
      </c>
      <c r="BF111" s="16"/>
      <c r="BG111" s="16">
        <f>+B111+AC111+AH111+AJ111+AO111+AP111+AR111+AS111+AV111+AY111+AZ111+BA111+BC111+V111</f>
        <v>0</v>
      </c>
      <c r="BH111" s="16">
        <f>+C111+D111+E111+F111+G111+H111+I111+J111+K111+L111+M111+N111+O111+P111+Q111+R111+S111+T111+U111+W111+X111+Y111+Z111+AA111+AB111+AD111+AE111+AF111+AG111+AI111+AK111+AL111+AM111+AN111+AQ111+AT111+AU111+AW111+AX111+BB111</f>
        <v>73193.5</v>
      </c>
      <c r="BI111" s="16"/>
    </row>
    <row r="112" spans="1:61" ht="11.25" customHeight="1" hidden="1" outlineLevel="1">
      <c r="A112" s="16" t="s">
        <v>259</v>
      </c>
      <c r="B112" s="157">
        <v>354535</v>
      </c>
      <c r="C112" s="157">
        <v>37334.4</v>
      </c>
      <c r="D112" s="157">
        <v>209710</v>
      </c>
      <c r="E112" s="157">
        <v>88320.637</v>
      </c>
      <c r="F112" s="157">
        <v>23372</v>
      </c>
      <c r="G112" s="157">
        <v>1492428</v>
      </c>
      <c r="H112" s="157">
        <v>0</v>
      </c>
      <c r="I112" s="157">
        <v>35694</v>
      </c>
      <c r="J112" s="157">
        <v>0</v>
      </c>
      <c r="K112" s="157">
        <v>28009</v>
      </c>
      <c r="L112" s="157">
        <v>5526</v>
      </c>
      <c r="M112" s="157">
        <v>150715</v>
      </c>
      <c r="N112" s="157">
        <v>3231</v>
      </c>
      <c r="O112" s="157">
        <v>14</v>
      </c>
      <c r="P112" s="157">
        <v>11160</v>
      </c>
      <c r="Q112" s="157">
        <v>1163</v>
      </c>
      <c r="R112" s="157">
        <v>11531</v>
      </c>
      <c r="S112" s="157">
        <v>15806</v>
      </c>
      <c r="T112" s="157">
        <v>16492</v>
      </c>
      <c r="U112" s="157">
        <v>7471</v>
      </c>
      <c r="V112" s="157">
        <v>15</v>
      </c>
      <c r="W112" s="157">
        <v>5550</v>
      </c>
      <c r="X112" s="157">
        <v>5163.624</v>
      </c>
      <c r="Y112" s="157">
        <v>14219</v>
      </c>
      <c r="Z112" s="157">
        <v>12297.01</v>
      </c>
      <c r="AA112" s="157">
        <v>932.378</v>
      </c>
      <c r="AB112" s="157">
        <v>2794</v>
      </c>
      <c r="AC112" s="157">
        <v>89375</v>
      </c>
      <c r="AD112" s="157">
        <v>468.53</v>
      </c>
      <c r="AE112" s="8">
        <v>11904</v>
      </c>
      <c r="AF112" s="16">
        <v>9389.515</v>
      </c>
      <c r="AG112" s="157">
        <v>0</v>
      </c>
      <c r="AH112" s="157">
        <v>82</v>
      </c>
      <c r="AI112" s="157">
        <v>1969</v>
      </c>
      <c r="AJ112" s="157">
        <v>552</v>
      </c>
      <c r="AK112" s="157">
        <v>608</v>
      </c>
      <c r="AL112" s="157">
        <v>0</v>
      </c>
      <c r="AM112" s="157">
        <v>1087</v>
      </c>
      <c r="AN112" s="157">
        <v>772</v>
      </c>
      <c r="AO112" s="157">
        <v>3583.577</v>
      </c>
      <c r="AP112" s="157">
        <v>2541</v>
      </c>
      <c r="AQ112" s="157">
        <v>2275</v>
      </c>
      <c r="AR112" s="16">
        <v>2022</v>
      </c>
      <c r="AS112" s="157">
        <v>2049</v>
      </c>
      <c r="AT112" s="157">
        <v>1237</v>
      </c>
      <c r="AU112" s="157">
        <v>794.061</v>
      </c>
      <c r="AV112" s="157">
        <v>1918</v>
      </c>
      <c r="AW112" s="157">
        <v>1277</v>
      </c>
      <c r="AX112" s="157">
        <v>0</v>
      </c>
      <c r="AY112" s="157">
        <f>3049656/1000</f>
        <v>3049.656</v>
      </c>
      <c r="AZ112" s="157">
        <v>3022</v>
      </c>
      <c r="BA112" s="157">
        <v>1660</v>
      </c>
      <c r="BB112" s="157">
        <v>722</v>
      </c>
      <c r="BC112" s="157">
        <v>74123</v>
      </c>
      <c r="BE112" s="16">
        <f>SUM(B112:BC112)</f>
        <v>2749963.388</v>
      </c>
      <c r="BF112" s="16"/>
      <c r="BG112" s="16">
        <f>+B112+AC112+AH112+AJ112+AO112+AP112+AR112+AS112+AV112+AY112+AZ112+BA112+BC112+V112</f>
        <v>538527.233</v>
      </c>
      <c r="BH112" s="16">
        <f>+C112+D112+E112+F112+G112+H112+I112+J112+K112+L112+M112+N112+O112+P112+Q112+R112+S112+T112+U112+W112+X112+Y112+Z112+AA112+AB112+AD112+AE112+AF112+AG112+AI112+AK112+AL112+AM112+AN112+AQ112+AT112+AU112+AW112+AX112+BB112</f>
        <v>2211436.155</v>
      </c>
      <c r="BI112" s="16"/>
    </row>
    <row r="113" spans="1:61" ht="11.25" customHeight="1" collapsed="1">
      <c r="A113" s="154" t="s">
        <v>260</v>
      </c>
      <c r="B113" s="157">
        <f aca="true" t="shared" si="44" ref="B113:AO113">SUM(B109:B112)</f>
        <v>354535</v>
      </c>
      <c r="C113" s="157">
        <f t="shared" si="44"/>
        <v>184933.8</v>
      </c>
      <c r="D113" s="157">
        <f t="shared" si="44"/>
        <v>209710</v>
      </c>
      <c r="E113" s="157">
        <f t="shared" si="44"/>
        <v>115032.401</v>
      </c>
      <c r="F113" s="157">
        <f t="shared" si="44"/>
        <v>23372</v>
      </c>
      <c r="G113" s="157">
        <f t="shared" si="44"/>
        <v>1492428</v>
      </c>
      <c r="H113" s="157">
        <f t="shared" si="44"/>
        <v>0</v>
      </c>
      <c r="I113" s="157">
        <f t="shared" si="44"/>
        <v>35694</v>
      </c>
      <c r="J113" s="157">
        <f>SUM(J109:J112)</f>
        <v>80616</v>
      </c>
      <c r="K113" s="157">
        <f t="shared" si="44"/>
        <v>28009</v>
      </c>
      <c r="L113" s="157">
        <f t="shared" si="44"/>
        <v>5526</v>
      </c>
      <c r="M113" s="157">
        <f t="shared" si="44"/>
        <v>150715</v>
      </c>
      <c r="N113" s="157">
        <f t="shared" si="44"/>
        <v>3231</v>
      </c>
      <c r="O113" s="157">
        <f t="shared" si="44"/>
        <v>14</v>
      </c>
      <c r="P113" s="157">
        <f t="shared" si="44"/>
        <v>11160</v>
      </c>
      <c r="Q113" s="157">
        <f t="shared" si="44"/>
        <v>1163</v>
      </c>
      <c r="R113" s="157">
        <f>SUM(R109:R112)</f>
        <v>11531</v>
      </c>
      <c r="S113" s="157">
        <f t="shared" si="44"/>
        <v>15806</v>
      </c>
      <c r="T113" s="157">
        <f t="shared" si="44"/>
        <v>20037</v>
      </c>
      <c r="U113" s="157">
        <f t="shared" si="44"/>
        <v>7471</v>
      </c>
      <c r="V113" s="157">
        <f>SUM(V109:V112)</f>
        <v>15</v>
      </c>
      <c r="W113" s="157">
        <f t="shared" si="44"/>
        <v>5550</v>
      </c>
      <c r="X113" s="157">
        <f t="shared" si="44"/>
        <v>5163.624</v>
      </c>
      <c r="Y113" s="157">
        <f t="shared" si="44"/>
        <v>14219</v>
      </c>
      <c r="Z113" s="157">
        <f>SUM(Z109:Z112)</f>
        <v>12297.01</v>
      </c>
      <c r="AA113" s="157">
        <f>SUM(AA109:AA112)</f>
        <v>932.378</v>
      </c>
      <c r="AB113" s="157">
        <f>SUM(AB109:AB112)</f>
        <v>2794</v>
      </c>
      <c r="AC113" s="157">
        <f t="shared" si="44"/>
        <v>89375</v>
      </c>
      <c r="AD113" s="157">
        <f>SUM(AD109:AD112)</f>
        <v>468.53</v>
      </c>
      <c r="AE113" s="157">
        <f t="shared" si="44"/>
        <v>11904</v>
      </c>
      <c r="AF113" s="157">
        <f t="shared" si="44"/>
        <v>9389.515</v>
      </c>
      <c r="AG113" s="157">
        <f t="shared" si="44"/>
        <v>0</v>
      </c>
      <c r="AH113" s="157">
        <f t="shared" si="44"/>
        <v>82</v>
      </c>
      <c r="AI113" s="157">
        <f t="shared" si="44"/>
        <v>1969</v>
      </c>
      <c r="AJ113" s="157">
        <f t="shared" si="44"/>
        <v>552</v>
      </c>
      <c r="AK113" s="157">
        <f t="shared" si="44"/>
        <v>608</v>
      </c>
      <c r="AL113" s="157">
        <f t="shared" si="44"/>
        <v>0</v>
      </c>
      <c r="AM113" s="157">
        <f t="shared" si="44"/>
        <v>1087</v>
      </c>
      <c r="AN113" s="157">
        <f>SUM(AN109:AN112)</f>
        <v>772</v>
      </c>
      <c r="AO113" s="157">
        <f t="shared" si="44"/>
        <v>3583.577</v>
      </c>
      <c r="AP113" s="157">
        <f aca="true" t="shared" si="45" ref="AP113:BC113">SUM(AP109:AP112)</f>
        <v>2541</v>
      </c>
      <c r="AQ113" s="157">
        <f t="shared" si="45"/>
        <v>2275</v>
      </c>
      <c r="AR113" s="157">
        <f t="shared" si="45"/>
        <v>5724</v>
      </c>
      <c r="AS113" s="157">
        <f t="shared" si="45"/>
        <v>2049</v>
      </c>
      <c r="AT113" s="157">
        <f t="shared" si="45"/>
        <v>1237</v>
      </c>
      <c r="AU113" s="157">
        <f t="shared" si="45"/>
        <v>794.061</v>
      </c>
      <c r="AV113" s="157">
        <f t="shared" si="45"/>
        <v>1918</v>
      </c>
      <c r="AW113" s="157">
        <f t="shared" si="45"/>
        <v>1277</v>
      </c>
      <c r="AX113" s="157">
        <f t="shared" si="45"/>
        <v>0</v>
      </c>
      <c r="AY113" s="157">
        <f t="shared" si="45"/>
        <v>3049.656</v>
      </c>
      <c r="AZ113" s="157">
        <f t="shared" si="45"/>
        <v>3022</v>
      </c>
      <c r="BA113" s="157">
        <f t="shared" si="45"/>
        <v>1660</v>
      </c>
      <c r="BB113" s="157">
        <f>SUM(BB109:BB112)</f>
        <v>722</v>
      </c>
      <c r="BC113" s="157">
        <f t="shared" si="45"/>
        <v>74123</v>
      </c>
      <c r="BE113" s="16">
        <f>SUM(B113:BC113)</f>
        <v>3012137.5519999997</v>
      </c>
      <c r="BF113" s="16"/>
      <c r="BG113" s="16">
        <f>+B113+AC113+AH113+AJ113+AO113+AP113+AR113+AS113+AV113+AY113+AZ113+BA113+BC113+V113</f>
        <v>542229.233</v>
      </c>
      <c r="BH113" s="16">
        <f>+C113+D113+E113+F113+G113+H113+I113+J113+K113+L113+M113+N113+O113+P113+Q113+R113+S113+T113+U113+W113+X113+Y113+Z113+AA113+AB113+AD113+AE113+AF113+AG113+AI113+AK113+AL113+AM113+AN113+AQ113+AT113+AU113+AW113+AX113+BB113</f>
        <v>2469908.3189999997</v>
      </c>
      <c r="BI113" s="16"/>
    </row>
    <row r="114" spans="1:61" ht="11.25" customHeight="1">
      <c r="A114" s="154"/>
      <c r="B114" s="157"/>
      <c r="C114" s="157"/>
      <c r="D114" s="159"/>
      <c r="E114" s="159"/>
      <c r="F114" s="159"/>
      <c r="G114" s="159"/>
      <c r="H114" s="159"/>
      <c r="I114" s="159"/>
      <c r="J114" s="159"/>
      <c r="K114" s="159"/>
      <c r="L114" s="157"/>
      <c r="N114" s="159"/>
      <c r="O114" s="159"/>
      <c r="P114" s="159"/>
      <c r="Q114" s="159"/>
      <c r="R114" s="158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G114" s="159"/>
      <c r="AH114" s="158"/>
      <c r="AI114" s="159"/>
      <c r="AJ114" s="159"/>
      <c r="AK114" s="159"/>
      <c r="AL114" s="159"/>
      <c r="AM114" s="168"/>
      <c r="AN114" s="159"/>
      <c r="AO114" s="159"/>
      <c r="AQ114" s="159"/>
      <c r="AR114" s="16"/>
      <c r="AS114" s="159"/>
      <c r="AT114" s="159"/>
      <c r="AV114" s="159">
        <v>0</v>
      </c>
      <c r="AW114" s="159"/>
      <c r="AX114" s="159"/>
      <c r="AY114" s="159"/>
      <c r="AZ114" s="159"/>
      <c r="BA114" s="159"/>
      <c r="BE114" s="16"/>
      <c r="BF114" s="16"/>
      <c r="BG114" s="16"/>
      <c r="BH114" s="16"/>
      <c r="BI114" s="16"/>
    </row>
    <row r="115" spans="1:61" ht="11.25" customHeight="1">
      <c r="A115" s="154" t="s">
        <v>404</v>
      </c>
      <c r="B115" s="157"/>
      <c r="C115" s="157"/>
      <c r="D115" s="16">
        <v>0</v>
      </c>
      <c r="E115" s="16">
        <v>0</v>
      </c>
      <c r="F115" s="16">
        <v>5594</v>
      </c>
      <c r="G115" s="16">
        <v>12499</v>
      </c>
      <c r="H115" s="16">
        <v>0</v>
      </c>
      <c r="I115" s="16">
        <v>0</v>
      </c>
      <c r="J115" s="157">
        <v>0</v>
      </c>
      <c r="K115" s="16">
        <v>0</v>
      </c>
      <c r="L115" s="157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7">
        <v>10145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1029</v>
      </c>
      <c r="AN115" s="16">
        <v>0</v>
      </c>
      <c r="AO115" s="16">
        <v>0</v>
      </c>
      <c r="AP115" s="16">
        <v>354</v>
      </c>
      <c r="AQ115" s="16">
        <v>0</v>
      </c>
      <c r="AR115" s="147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6897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E115" s="16">
        <f>SUM(B115:BC115)</f>
        <v>36518</v>
      </c>
      <c r="BF115" s="16"/>
      <c r="BG115" s="16">
        <f>+B115+AC115+AH115+AJ115+AO115+AP115+AR115+AS115+AV115+AY115+AZ115+BA115+BC115+V115</f>
        <v>354</v>
      </c>
      <c r="BH115" s="16">
        <f>+C115+D115+E115+F115+G115+H115+I115+J115+K115+L115+M115+N115+O115+P115+Q115+R115+S115+T115+U115+W115+X115+Y115+Z115+AA115+AB115+AD115+AE115+AF115+AG115+AI115+AK115+AL115+AM115+AN115+AQ115+AT115+AU115+AW115+AX115+BB115</f>
        <v>36164</v>
      </c>
      <c r="BI115" s="16"/>
    </row>
    <row r="116" spans="1:61" ht="11.25" customHeight="1">
      <c r="A116" s="149"/>
      <c r="B116" s="157"/>
      <c r="C116" s="157"/>
      <c r="D116" s="159"/>
      <c r="E116" s="159"/>
      <c r="F116" s="159"/>
      <c r="G116" s="159"/>
      <c r="H116" s="159"/>
      <c r="I116" s="159"/>
      <c r="J116" s="159"/>
      <c r="K116" s="159"/>
      <c r="L116" s="157"/>
      <c r="N116" s="159"/>
      <c r="O116" s="159"/>
      <c r="P116" s="159"/>
      <c r="Q116" s="159"/>
      <c r="R116" s="158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G116" s="159"/>
      <c r="AH116" s="158"/>
      <c r="AI116" s="159"/>
      <c r="AJ116" s="159"/>
      <c r="AK116" s="159"/>
      <c r="AL116" s="159"/>
      <c r="AM116" s="168"/>
      <c r="AN116" s="159"/>
      <c r="AO116" s="159"/>
      <c r="AQ116" s="159"/>
      <c r="AR116" s="149"/>
      <c r="AS116" s="159"/>
      <c r="AT116" s="159"/>
      <c r="AV116" s="159"/>
      <c r="AW116" s="159"/>
      <c r="AX116" s="159"/>
      <c r="AY116" s="159"/>
      <c r="AZ116" s="159"/>
      <c r="BA116" s="159"/>
      <c r="BE116" s="16"/>
      <c r="BF116" s="16"/>
      <c r="BG116" s="16"/>
      <c r="BH116" s="16"/>
      <c r="BI116" s="16"/>
    </row>
    <row r="117" spans="1:61" s="151" customFormat="1" ht="11.25" customHeight="1">
      <c r="A117" s="221" t="s">
        <v>417</v>
      </c>
      <c r="B117" s="157">
        <f aca="true" t="shared" si="46" ref="B117:AO117">+B106+B113+B115</f>
        <v>389040</v>
      </c>
      <c r="C117" s="157">
        <f t="shared" si="46"/>
        <v>194416.8</v>
      </c>
      <c r="D117" s="157">
        <f t="shared" si="46"/>
        <v>209710</v>
      </c>
      <c r="E117" s="157">
        <f t="shared" si="46"/>
        <v>115032.401</v>
      </c>
      <c r="F117" s="157">
        <f t="shared" si="46"/>
        <v>28966</v>
      </c>
      <c r="G117" s="157">
        <f t="shared" si="46"/>
        <v>1504927</v>
      </c>
      <c r="H117" s="157">
        <f t="shared" si="46"/>
        <v>0</v>
      </c>
      <c r="I117" s="157">
        <f t="shared" si="46"/>
        <v>35694</v>
      </c>
      <c r="J117" s="157">
        <f>+J106+J113+J115</f>
        <v>80616</v>
      </c>
      <c r="K117" s="157">
        <f t="shared" si="46"/>
        <v>28009</v>
      </c>
      <c r="L117" s="157">
        <f t="shared" si="46"/>
        <v>5526</v>
      </c>
      <c r="M117" s="157">
        <f t="shared" si="46"/>
        <v>150715</v>
      </c>
      <c r="N117" s="157">
        <f t="shared" si="46"/>
        <v>3231</v>
      </c>
      <c r="O117" s="157">
        <f t="shared" si="46"/>
        <v>14</v>
      </c>
      <c r="P117" s="157">
        <f t="shared" si="46"/>
        <v>11160</v>
      </c>
      <c r="Q117" s="157">
        <f t="shared" si="46"/>
        <v>1163</v>
      </c>
      <c r="R117" s="157">
        <f>+R106+R113+R115</f>
        <v>11531</v>
      </c>
      <c r="S117" s="157">
        <f t="shared" si="46"/>
        <v>15806</v>
      </c>
      <c r="T117" s="157">
        <f t="shared" si="46"/>
        <v>20037</v>
      </c>
      <c r="U117" s="157">
        <f t="shared" si="46"/>
        <v>7471</v>
      </c>
      <c r="V117" s="157">
        <f>+V106+V113+V115</f>
        <v>4015</v>
      </c>
      <c r="W117" s="157">
        <f t="shared" si="46"/>
        <v>5550</v>
      </c>
      <c r="X117" s="157">
        <f t="shared" si="46"/>
        <v>5163.624</v>
      </c>
      <c r="Y117" s="157">
        <f t="shared" si="46"/>
        <v>14219</v>
      </c>
      <c r="Z117" s="157">
        <f>+Z106+Z113+Z115</f>
        <v>12297.01</v>
      </c>
      <c r="AA117" s="157">
        <f>+AA106+AA113+AA115</f>
        <v>932.378</v>
      </c>
      <c r="AB117" s="157">
        <f>+AB106+AB113+AB115</f>
        <v>2794</v>
      </c>
      <c r="AC117" s="157">
        <f t="shared" si="46"/>
        <v>89375</v>
      </c>
      <c r="AD117" s="157">
        <f>+AD106+AD113+AD115</f>
        <v>468.53</v>
      </c>
      <c r="AE117" s="157">
        <f t="shared" si="46"/>
        <v>22049</v>
      </c>
      <c r="AF117" s="157">
        <f t="shared" si="46"/>
        <v>9389.515</v>
      </c>
      <c r="AG117" s="157">
        <f t="shared" si="46"/>
        <v>0</v>
      </c>
      <c r="AH117" s="157">
        <f t="shared" si="46"/>
        <v>82</v>
      </c>
      <c r="AI117" s="157">
        <f t="shared" si="46"/>
        <v>1969</v>
      </c>
      <c r="AJ117" s="157">
        <f t="shared" si="46"/>
        <v>552</v>
      </c>
      <c r="AK117" s="157">
        <f t="shared" si="46"/>
        <v>608</v>
      </c>
      <c r="AL117" s="157">
        <f t="shared" si="46"/>
        <v>0</v>
      </c>
      <c r="AM117" s="157">
        <f t="shared" si="46"/>
        <v>2116</v>
      </c>
      <c r="AN117" s="157">
        <f>+AN106+AN113+AN115</f>
        <v>772</v>
      </c>
      <c r="AO117" s="157">
        <f t="shared" si="46"/>
        <v>3583.577</v>
      </c>
      <c r="AP117" s="157">
        <f aca="true" t="shared" si="47" ref="AP117:BC117">+AP106+AP113+AP115</f>
        <v>2895</v>
      </c>
      <c r="AQ117" s="157">
        <f t="shared" si="47"/>
        <v>2275</v>
      </c>
      <c r="AR117" s="157">
        <f t="shared" si="47"/>
        <v>5724</v>
      </c>
      <c r="AS117" s="157">
        <f t="shared" si="47"/>
        <v>2049</v>
      </c>
      <c r="AT117" s="157">
        <f t="shared" si="47"/>
        <v>1237</v>
      </c>
      <c r="AU117" s="157">
        <f t="shared" si="47"/>
        <v>794.061</v>
      </c>
      <c r="AV117" s="157">
        <f t="shared" si="47"/>
        <v>1918</v>
      </c>
      <c r="AW117" s="157">
        <f t="shared" si="47"/>
        <v>8174</v>
      </c>
      <c r="AX117" s="157">
        <f t="shared" si="47"/>
        <v>0</v>
      </c>
      <c r="AY117" s="157">
        <f t="shared" si="47"/>
        <v>3049.656</v>
      </c>
      <c r="AZ117" s="157">
        <f t="shared" si="47"/>
        <v>3022</v>
      </c>
      <c r="BA117" s="157">
        <f t="shared" si="47"/>
        <v>1660</v>
      </c>
      <c r="BB117" s="157">
        <f>+BB106+BB113+BB115</f>
        <v>722</v>
      </c>
      <c r="BC117" s="157">
        <f t="shared" si="47"/>
        <v>74123</v>
      </c>
      <c r="BE117" s="16">
        <f>SUM(B117:BC117)</f>
        <v>3096643.5519999997</v>
      </c>
      <c r="BF117" s="149"/>
      <c r="BG117" s="16">
        <f>+B117+AC117+AH117+AJ117+AO117+AP117+AR117+AS117+AV117+AY117+AZ117+BA117+BC117+V117</f>
        <v>581088.233</v>
      </c>
      <c r="BH117" s="16">
        <f>+C117+D117+E117+F117+G117+H117+I117+J117+K117+L117+M117+N117+O117+P117+Q117+R117+S117+T117+U117+W117+X117+Y117+Z117+AA117+AB117+AD117+AE117+AF117+AG117+AI117+AK117+AL117+AM117+AN117+AQ117+AT117+AU117+AW117+AX117+BB117</f>
        <v>2515555.3189999997</v>
      </c>
      <c r="BI117" s="149"/>
    </row>
    <row r="118" spans="1:61" ht="11.25" customHeight="1">
      <c r="A118" s="169"/>
      <c r="B118" s="157"/>
      <c r="C118" s="157"/>
      <c r="D118" s="159"/>
      <c r="E118" s="159"/>
      <c r="F118" s="159"/>
      <c r="G118" s="159"/>
      <c r="H118" s="159"/>
      <c r="I118" s="159"/>
      <c r="J118" s="159"/>
      <c r="K118" s="159"/>
      <c r="L118" s="158"/>
      <c r="M118" s="16"/>
      <c r="N118" s="159"/>
      <c r="O118" s="159"/>
      <c r="P118" s="159"/>
      <c r="Q118" s="159"/>
      <c r="R118" s="158"/>
      <c r="S118" s="16"/>
      <c r="T118" s="16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G118" s="159"/>
      <c r="AH118" s="158"/>
      <c r="AI118" s="159"/>
      <c r="AJ118" s="159"/>
      <c r="AK118" s="159"/>
      <c r="AL118" s="159"/>
      <c r="AM118" s="168"/>
      <c r="AN118" s="159"/>
      <c r="AO118" s="159"/>
      <c r="AQ118" s="159"/>
      <c r="AR118" s="149"/>
      <c r="AS118" s="159"/>
      <c r="AT118" s="159"/>
      <c r="AU118" s="16"/>
      <c r="AV118" s="159"/>
      <c r="AW118" s="159"/>
      <c r="AX118" s="159"/>
      <c r="AY118" s="159"/>
      <c r="AZ118" s="159"/>
      <c r="BA118" s="159"/>
      <c r="BE118" s="16"/>
      <c r="BF118" s="16"/>
      <c r="BG118" s="16"/>
      <c r="BH118" s="16"/>
      <c r="BI118" s="16"/>
    </row>
    <row r="119" spans="1:61" s="151" customFormat="1" ht="11.25" customHeight="1">
      <c r="A119" s="221" t="s">
        <v>415</v>
      </c>
      <c r="B119" s="173">
        <f aca="true" t="shared" si="48" ref="B119:AO119">+B103-B117</f>
        <v>128105354</v>
      </c>
      <c r="C119" s="173">
        <f t="shared" si="48"/>
        <v>48484650.2</v>
      </c>
      <c r="D119" s="173">
        <f t="shared" si="48"/>
        <v>147738095</v>
      </c>
      <c r="E119" s="173">
        <f t="shared" si="48"/>
        <v>76271789.543</v>
      </c>
      <c r="F119" s="173">
        <f t="shared" si="48"/>
        <v>68259866</v>
      </c>
      <c r="G119" s="173">
        <f t="shared" si="48"/>
        <v>56600608</v>
      </c>
      <c r="H119" s="173">
        <f t="shared" si="48"/>
        <v>1540224</v>
      </c>
      <c r="I119" s="173">
        <f t="shared" si="48"/>
        <v>37983696.35500001</v>
      </c>
      <c r="J119" s="173">
        <f>+J103-J117</f>
        <v>5101972.8</v>
      </c>
      <c r="K119" s="173">
        <f t="shared" si="48"/>
        <v>33591864</v>
      </c>
      <c r="L119" s="173">
        <f t="shared" si="48"/>
        <v>6640541</v>
      </c>
      <c r="M119" s="173">
        <f t="shared" si="48"/>
        <v>26679914</v>
      </c>
      <c r="N119" s="173">
        <f t="shared" si="48"/>
        <v>19706862</v>
      </c>
      <c r="O119" s="173">
        <f t="shared" si="48"/>
        <v>5860949</v>
      </c>
      <c r="P119" s="173">
        <f>+P103-P117</f>
        <v>20791676</v>
      </c>
      <c r="Q119" s="173">
        <f t="shared" si="48"/>
        <v>2167219</v>
      </c>
      <c r="R119" s="173">
        <f>+R103-R117</f>
        <v>18624666</v>
      </c>
      <c r="S119" s="173">
        <f t="shared" si="48"/>
        <v>18295229</v>
      </c>
      <c r="T119" s="173">
        <f t="shared" si="48"/>
        <v>17666338</v>
      </c>
      <c r="U119" s="173">
        <f t="shared" si="48"/>
        <v>16804069</v>
      </c>
      <c r="V119" s="173">
        <f>+V103-V117</f>
        <v>15519891</v>
      </c>
      <c r="W119" s="173">
        <f t="shared" si="48"/>
        <v>15433319</v>
      </c>
      <c r="X119" s="173">
        <f t="shared" si="48"/>
        <v>14968808.376</v>
      </c>
      <c r="Y119" s="173">
        <f t="shared" si="48"/>
        <v>13894193.608</v>
      </c>
      <c r="Z119" s="173">
        <f>+Z103-Z117</f>
        <v>11152721.718999999</v>
      </c>
      <c r="AA119" s="173">
        <f>+AA103-AA117</f>
        <v>845614.9279999998</v>
      </c>
      <c r="AB119" s="173">
        <f>+AB103-AB117</f>
        <v>11231121</v>
      </c>
      <c r="AC119" s="173">
        <f t="shared" si="48"/>
        <v>10959237.447999999</v>
      </c>
      <c r="AD119" s="173">
        <f>+AD103-AD117</f>
        <v>1055047.307</v>
      </c>
      <c r="AE119" s="173">
        <f t="shared" si="48"/>
        <v>10193237</v>
      </c>
      <c r="AF119" s="173">
        <f t="shared" si="48"/>
        <v>9071163.296000002</v>
      </c>
      <c r="AG119" s="173">
        <f t="shared" si="48"/>
        <v>7326024</v>
      </c>
      <c r="AH119" s="173">
        <f t="shared" si="48"/>
        <v>4096092.716</v>
      </c>
      <c r="AI119" s="173">
        <f t="shared" si="48"/>
        <v>2935029</v>
      </c>
      <c r="AJ119" s="173">
        <f t="shared" si="48"/>
        <v>184376</v>
      </c>
      <c r="AK119" s="173">
        <f t="shared" si="48"/>
        <v>2960016</v>
      </c>
      <c r="AL119" s="173">
        <f t="shared" si="48"/>
        <v>2542380</v>
      </c>
      <c r="AM119" s="173">
        <f t="shared" si="48"/>
        <v>2418684</v>
      </c>
      <c r="AN119" s="173">
        <f>+AN103-AN117</f>
        <v>185941</v>
      </c>
      <c r="AO119" s="173">
        <f t="shared" si="48"/>
        <v>1747772.961</v>
      </c>
      <c r="AP119" s="173">
        <f aca="true" t="shared" si="49" ref="AP119:BC119">+AP103-AP117</f>
        <v>1625460</v>
      </c>
      <c r="AQ119" s="173">
        <f t="shared" si="49"/>
        <v>1480328</v>
      </c>
      <c r="AR119" s="173">
        <f t="shared" si="49"/>
        <v>1306001</v>
      </c>
      <c r="AS119" s="173">
        <f t="shared" si="49"/>
        <v>946454</v>
      </c>
      <c r="AT119" s="173">
        <f t="shared" si="49"/>
        <v>702482</v>
      </c>
      <c r="AU119" s="173">
        <f t="shared" si="49"/>
        <v>613987.657</v>
      </c>
      <c r="AV119" s="173">
        <f t="shared" si="49"/>
        <v>608528</v>
      </c>
      <c r="AW119" s="173">
        <f t="shared" si="49"/>
        <v>505608</v>
      </c>
      <c r="AX119" s="173">
        <f t="shared" si="49"/>
        <v>458796</v>
      </c>
      <c r="AY119" s="173">
        <f t="shared" si="49"/>
        <v>399523.5899999999</v>
      </c>
      <c r="AZ119" s="173">
        <f t="shared" si="49"/>
        <v>210244</v>
      </c>
      <c r="BA119" s="173">
        <f t="shared" si="49"/>
        <v>88536</v>
      </c>
      <c r="BB119" s="173">
        <f>+BB103-BB117</f>
        <v>7967</v>
      </c>
      <c r="BC119" s="173">
        <f t="shared" si="49"/>
        <v>-16387</v>
      </c>
      <c r="BD119" s="149"/>
      <c r="BE119" s="149">
        <f>SUM(B119:BC119)</f>
        <v>904573781.5039998</v>
      </c>
      <c r="BF119" s="149"/>
      <c r="BG119" s="149">
        <f>+B119+AC119+AH119+AJ119+AO119+AP119+AR119+AS119+AV119+AY119+AZ119+BA119+BC119+V119</f>
        <v>165781083.715</v>
      </c>
      <c r="BH119" s="149">
        <f>+C119+D119+E119+F119+G119+H119+I119+J119+K119+L119+M119+N119+O119+P119+Q119+R119+S119+T119+U119+W119+X119+Y119+Z119+AA119+AB119+AD119+AE119+AF119+AG119+AI119+AK119+AL119+AM119+AN119+AQ119+AT119+AU119+AW119+AX119+BB119</f>
        <v>738792697.789</v>
      </c>
      <c r="BI119" s="149"/>
    </row>
    <row r="120" spans="1:61" ht="11.25" customHeight="1">
      <c r="A120" s="169"/>
      <c r="B120" s="16"/>
      <c r="C120" s="16"/>
      <c r="D120" s="16"/>
      <c r="E120" s="16"/>
      <c r="G120" s="16"/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</row>
    <row r="121" spans="1:60" ht="17.25" customHeight="1">
      <c r="A121" s="178" t="s">
        <v>398</v>
      </c>
      <c r="BG121" s="16"/>
      <c r="BH121" s="16"/>
    </row>
    <row r="122" spans="1:61" ht="11.25" customHeight="1" hidden="1" outlineLevel="1">
      <c r="A122" s="169" t="s">
        <v>318</v>
      </c>
      <c r="B122" s="152"/>
      <c r="C122" s="152"/>
      <c r="D122" s="16"/>
      <c r="E122" s="16"/>
      <c r="F122" s="152"/>
      <c r="G122" s="152"/>
      <c r="I122" s="16"/>
      <c r="K122" s="152"/>
      <c r="M122" s="16"/>
      <c r="N122" s="152"/>
      <c r="O122" s="152"/>
      <c r="R122" s="16"/>
      <c r="S122" s="16"/>
      <c r="V122" s="16"/>
      <c r="W122" s="16"/>
      <c r="X122" s="16"/>
      <c r="Y122" s="16"/>
      <c r="Z122" s="152"/>
      <c r="AA122" s="152"/>
      <c r="AB122" s="16"/>
      <c r="AC122" s="16"/>
      <c r="AD122" s="152"/>
      <c r="AE122" s="16"/>
      <c r="AF122" s="16"/>
      <c r="AG122" s="16"/>
      <c r="AH122" s="16"/>
      <c r="AI122" s="152"/>
      <c r="AJ122" s="152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E122" s="16"/>
      <c r="BF122" s="16"/>
      <c r="BG122" s="16"/>
      <c r="BH122" s="16"/>
      <c r="BI122" s="16"/>
    </row>
    <row r="123" spans="1:61" ht="11.25" customHeight="1" hidden="1" outlineLevel="1">
      <c r="A123" s="148" t="s">
        <v>319</v>
      </c>
      <c r="B123" s="156">
        <v>15615942</v>
      </c>
      <c r="C123" s="156">
        <v>7988133</v>
      </c>
      <c r="D123" s="156">
        <v>8370001</v>
      </c>
      <c r="E123" s="156">
        <v>3385243.344</v>
      </c>
      <c r="F123" s="156">
        <v>1832861</v>
      </c>
      <c r="G123" s="156">
        <v>2494733</v>
      </c>
      <c r="H123" s="156">
        <v>490403</v>
      </c>
      <c r="I123" s="156">
        <v>1696385</v>
      </c>
      <c r="J123" s="156">
        <v>932013</v>
      </c>
      <c r="K123" s="156">
        <v>1649190</v>
      </c>
      <c r="L123" s="16">
        <v>1116461</v>
      </c>
      <c r="M123" s="156">
        <v>1533212</v>
      </c>
      <c r="N123" s="156">
        <v>347417</v>
      </c>
      <c r="O123" s="156">
        <v>613702</v>
      </c>
      <c r="P123" s="156">
        <v>351731</v>
      </c>
      <c r="Q123" s="156">
        <v>362308</v>
      </c>
      <c r="R123" s="156">
        <v>792982</v>
      </c>
      <c r="S123" s="156">
        <v>1047938</v>
      </c>
      <c r="T123" s="156">
        <v>507160.377</v>
      </c>
      <c r="U123" s="156">
        <v>1254137.751</v>
      </c>
      <c r="V123" s="156">
        <v>1558852</v>
      </c>
      <c r="W123" s="156">
        <v>872470</v>
      </c>
      <c r="X123" s="156">
        <v>451158</v>
      </c>
      <c r="Y123" s="156">
        <v>362130.649</v>
      </c>
      <c r="Z123" s="156">
        <v>2186738.077</v>
      </c>
      <c r="AA123" s="156">
        <v>165801.534</v>
      </c>
      <c r="AB123" s="156">
        <v>537444</v>
      </c>
      <c r="AC123" s="156">
        <v>4522567.829</v>
      </c>
      <c r="AD123" s="157">
        <v>247999.841</v>
      </c>
      <c r="AE123" s="79">
        <v>550177</v>
      </c>
      <c r="AF123" s="157">
        <v>88250.551</v>
      </c>
      <c r="AG123" s="156">
        <v>419306</v>
      </c>
      <c r="AH123" s="156">
        <v>395362.9</v>
      </c>
      <c r="AI123" s="156">
        <v>0</v>
      </c>
      <c r="AJ123" s="156">
        <v>0</v>
      </c>
      <c r="AK123" s="157">
        <v>120229</v>
      </c>
      <c r="AL123" s="156">
        <v>99830</v>
      </c>
      <c r="AM123" s="157">
        <v>0</v>
      </c>
      <c r="AN123" s="156">
        <v>38450</v>
      </c>
      <c r="AO123" s="156">
        <v>112461</v>
      </c>
      <c r="AP123" s="157">
        <v>69911.797</v>
      </c>
      <c r="AQ123" s="156">
        <v>11749</v>
      </c>
      <c r="AR123" s="157">
        <v>131308</v>
      </c>
      <c r="AS123" s="156">
        <v>18183</v>
      </c>
      <c r="AT123" s="156">
        <v>0</v>
      </c>
      <c r="AU123" s="156">
        <v>0</v>
      </c>
      <c r="AV123" s="156">
        <v>34308</v>
      </c>
      <c r="AW123" s="156">
        <v>1112</v>
      </c>
      <c r="AX123" s="156">
        <v>0</v>
      </c>
      <c r="AY123" s="156">
        <f>25920799/1000</f>
        <v>25920.799</v>
      </c>
      <c r="AZ123" s="156">
        <v>30270</v>
      </c>
      <c r="BA123" s="156">
        <v>130000</v>
      </c>
      <c r="BB123" s="157">
        <v>0</v>
      </c>
      <c r="BC123" s="157">
        <v>27252</v>
      </c>
      <c r="BE123" s="16">
        <f aca="true" t="shared" si="50" ref="BE123:BE132">SUM(B123:BC123)</f>
        <v>65591196.448999986</v>
      </c>
      <c r="BF123" s="16"/>
      <c r="BG123" s="16">
        <f aca="true" t="shared" si="51" ref="BG123:BG132">+B123+AC123+AH123+AJ123+AO123+AP123+AR123+AS123+AV123+AY123+AZ123+BA123+BC123+V123</f>
        <v>22672339.324999996</v>
      </c>
      <c r="BH123" s="16">
        <f aca="true" t="shared" si="52" ref="BH123:BH132">+C123+D123+E123+F123+G123+H123+I123+J123+K123+L123+M123+N123+O123+P123+Q123+R123+S123+T123+U123+W123+X123+Y123+Z123+AA123+AB123+AD123+AE123+AF123+AG123+AI123+AK123+AL123+AM123+AN123+AQ123+AT123+AU123+AW123+AX123+BB123</f>
        <v>42918857.12399999</v>
      </c>
      <c r="BI123" s="157"/>
    </row>
    <row r="124" spans="1:61" ht="11.25" customHeight="1" hidden="1" outlineLevel="1">
      <c r="A124" s="148" t="s">
        <v>320</v>
      </c>
      <c r="B124" s="156">
        <v>4508036</v>
      </c>
      <c r="C124" s="156">
        <v>3816346</v>
      </c>
      <c r="D124" s="156">
        <v>6826413</v>
      </c>
      <c r="E124" s="156">
        <v>3281635.275</v>
      </c>
      <c r="F124" s="156">
        <v>3064931</v>
      </c>
      <c r="G124" s="156">
        <v>4361866</v>
      </c>
      <c r="H124" s="156">
        <v>12971</v>
      </c>
      <c r="I124" s="156">
        <v>1780036</v>
      </c>
      <c r="J124" s="156">
        <v>38494</v>
      </c>
      <c r="K124" s="156">
        <v>887527</v>
      </c>
      <c r="L124" s="16">
        <v>163688</v>
      </c>
      <c r="M124" s="156">
        <v>380691</v>
      </c>
      <c r="N124" s="156">
        <v>1001508</v>
      </c>
      <c r="O124" s="156">
        <v>452489</v>
      </c>
      <c r="P124" s="156">
        <v>1448728</v>
      </c>
      <c r="Q124" s="156">
        <v>138234</v>
      </c>
      <c r="R124" s="156">
        <v>570488</v>
      </c>
      <c r="S124" s="156">
        <v>44799</v>
      </c>
      <c r="T124" s="156">
        <v>213443.732</v>
      </c>
      <c r="U124" s="156">
        <v>477778.609</v>
      </c>
      <c r="V124" s="156">
        <v>869626</v>
      </c>
      <c r="W124" s="156">
        <v>159390</v>
      </c>
      <c r="X124" s="156">
        <v>412914</v>
      </c>
      <c r="Y124" s="156">
        <v>263983.929</v>
      </c>
      <c r="Z124" s="156">
        <v>573694.694</v>
      </c>
      <c r="AA124" s="156">
        <v>43498.333</v>
      </c>
      <c r="AB124" s="156">
        <v>397278</v>
      </c>
      <c r="AC124" s="156">
        <v>833958.756</v>
      </c>
      <c r="AD124" s="157">
        <v>8974.162</v>
      </c>
      <c r="AE124" s="79">
        <v>271408</v>
      </c>
      <c r="AF124" s="157">
        <v>395349.827</v>
      </c>
      <c r="AG124" s="156">
        <v>181455</v>
      </c>
      <c r="AH124" s="156">
        <v>35494.1</v>
      </c>
      <c r="AI124" s="156">
        <v>99401</v>
      </c>
      <c r="AJ124" s="156">
        <v>7854</v>
      </c>
      <c r="AK124" s="157">
        <v>166066</v>
      </c>
      <c r="AL124" s="156">
        <v>34462</v>
      </c>
      <c r="AM124" s="157">
        <v>50300</v>
      </c>
      <c r="AN124" s="156">
        <v>1124</v>
      </c>
      <c r="AO124" s="156">
        <v>49523</v>
      </c>
      <c r="AP124" s="157">
        <v>71754.769</v>
      </c>
      <c r="AQ124" s="156">
        <v>14185</v>
      </c>
      <c r="AR124" s="157">
        <v>75449</v>
      </c>
      <c r="AS124" s="156">
        <v>41944</v>
      </c>
      <c r="AT124" s="156">
        <v>17560</v>
      </c>
      <c r="AU124" s="156">
        <v>40012.825</v>
      </c>
      <c r="AV124" s="156">
        <v>16261</v>
      </c>
      <c r="AW124" s="156">
        <v>9999</v>
      </c>
      <c r="AX124" s="156">
        <v>42738.901</v>
      </c>
      <c r="AY124" s="156">
        <f>15417128/1000</f>
        <v>15417.128</v>
      </c>
      <c r="AZ124" s="156">
        <v>6219</v>
      </c>
      <c r="BA124" s="156">
        <v>5033</v>
      </c>
      <c r="BB124" s="157">
        <v>6</v>
      </c>
      <c r="BC124" s="157">
        <v>2497</v>
      </c>
      <c r="BE124" s="16">
        <f t="shared" si="50"/>
        <v>38684934.03999999</v>
      </c>
      <c r="BF124" s="16"/>
      <c r="BG124" s="16">
        <f t="shared" si="51"/>
        <v>6539066.753</v>
      </c>
      <c r="BH124" s="16">
        <f t="shared" si="52"/>
        <v>32145867.287</v>
      </c>
      <c r="BI124" s="157"/>
    </row>
    <row r="125" spans="1:61" ht="11.25" customHeight="1" hidden="1" outlineLevel="1">
      <c r="A125" s="148" t="s">
        <v>321</v>
      </c>
      <c r="B125" s="159">
        <v>0</v>
      </c>
      <c r="C125" s="159">
        <v>0</v>
      </c>
      <c r="D125" s="156">
        <v>0</v>
      </c>
      <c r="E125" s="156">
        <v>25977.701</v>
      </c>
      <c r="F125" s="156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6">
        <v>0</v>
      </c>
      <c r="M125" s="156">
        <v>0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6">
        <v>0</v>
      </c>
      <c r="T125" s="156">
        <v>0</v>
      </c>
      <c r="U125" s="156">
        <v>1895.543</v>
      </c>
      <c r="V125" s="156">
        <v>0</v>
      </c>
      <c r="W125" s="156">
        <v>4952</v>
      </c>
      <c r="X125" s="156">
        <v>0</v>
      </c>
      <c r="Y125" s="156">
        <v>62541.936</v>
      </c>
      <c r="Z125" s="156">
        <v>0</v>
      </c>
      <c r="AA125" s="156">
        <v>0</v>
      </c>
      <c r="AB125" s="156">
        <v>0</v>
      </c>
      <c r="AC125" s="156">
        <v>0</v>
      </c>
      <c r="AD125" s="157">
        <v>0</v>
      </c>
      <c r="AE125" s="79">
        <v>0</v>
      </c>
      <c r="AF125" s="157">
        <v>0</v>
      </c>
      <c r="AG125" s="156">
        <v>0</v>
      </c>
      <c r="AH125" s="157">
        <v>2566.8</v>
      </c>
      <c r="AI125" s="157">
        <v>0</v>
      </c>
      <c r="AJ125" s="157">
        <v>0</v>
      </c>
      <c r="AK125" s="157">
        <v>1512</v>
      </c>
      <c r="AL125" s="156">
        <v>2053</v>
      </c>
      <c r="AM125" s="157">
        <v>0</v>
      </c>
      <c r="AN125" s="156">
        <v>0</v>
      </c>
      <c r="AO125" s="156">
        <v>10803</v>
      </c>
      <c r="AP125" s="156">
        <v>0</v>
      </c>
      <c r="AQ125" s="157">
        <v>0</v>
      </c>
      <c r="AR125" s="157">
        <v>0</v>
      </c>
      <c r="AS125" s="156">
        <v>0</v>
      </c>
      <c r="AT125" s="157">
        <v>0</v>
      </c>
      <c r="AU125" s="157">
        <v>0</v>
      </c>
      <c r="AV125" s="157">
        <v>0</v>
      </c>
      <c r="AW125" s="157">
        <v>0</v>
      </c>
      <c r="AX125" s="156">
        <v>35137</v>
      </c>
      <c r="AY125" s="156">
        <v>0</v>
      </c>
      <c r="AZ125" s="156">
        <v>0</v>
      </c>
      <c r="BA125" s="156">
        <v>0</v>
      </c>
      <c r="BB125" s="156">
        <v>0</v>
      </c>
      <c r="BC125" s="156">
        <v>0</v>
      </c>
      <c r="BE125" s="16">
        <f t="shared" si="50"/>
        <v>147438.98</v>
      </c>
      <c r="BF125" s="16"/>
      <c r="BG125" s="16">
        <f t="shared" si="51"/>
        <v>13369.8</v>
      </c>
      <c r="BH125" s="16">
        <f t="shared" si="52"/>
        <v>134069.18</v>
      </c>
      <c r="BI125" s="157"/>
    </row>
    <row r="126" spans="1:61" ht="11.25" customHeight="1" hidden="1" outlineLevel="1">
      <c r="A126" s="148" t="s">
        <v>322</v>
      </c>
      <c r="B126" s="156">
        <v>9495668</v>
      </c>
      <c r="C126" s="156">
        <v>3345666</v>
      </c>
      <c r="D126" s="156">
        <v>8581442</v>
      </c>
      <c r="E126" s="156">
        <v>4250845.179</v>
      </c>
      <c r="F126" s="156">
        <v>4198882</v>
      </c>
      <c r="G126" s="156">
        <v>6735979</v>
      </c>
      <c r="H126" s="156">
        <v>0</v>
      </c>
      <c r="I126" s="156">
        <v>1196995</v>
      </c>
      <c r="J126" s="156">
        <v>133780</v>
      </c>
      <c r="K126" s="156">
        <v>1889533</v>
      </c>
      <c r="L126" s="16">
        <v>119149</v>
      </c>
      <c r="M126" s="156">
        <v>3235007</v>
      </c>
      <c r="N126" s="156">
        <v>3586944</v>
      </c>
      <c r="O126" s="156">
        <v>1059592</v>
      </c>
      <c r="P126" s="156">
        <v>4927107</v>
      </c>
      <c r="Q126" s="156">
        <v>513577</v>
      </c>
      <c r="R126" s="156">
        <v>793973</v>
      </c>
      <c r="S126" s="156">
        <v>897293</v>
      </c>
      <c r="T126" s="156">
        <v>1809444.311</v>
      </c>
      <c r="U126" s="156">
        <v>532341.7189999999</v>
      </c>
      <c r="V126" s="156">
        <v>1043469</v>
      </c>
      <c r="W126" s="156">
        <v>699586</v>
      </c>
      <c r="X126" s="156">
        <v>622315</v>
      </c>
      <c r="Y126" s="156">
        <v>513786.628</v>
      </c>
      <c r="Z126" s="156">
        <v>149012.03</v>
      </c>
      <c r="AA126" s="156">
        <v>11298.3</v>
      </c>
      <c r="AB126" s="156">
        <v>1010030</v>
      </c>
      <c r="AC126" s="156">
        <v>100567.894</v>
      </c>
      <c r="AD126" s="157">
        <v>443.76</v>
      </c>
      <c r="AE126" s="79">
        <v>390016</v>
      </c>
      <c r="AF126" s="157">
        <v>496660.511</v>
      </c>
      <c r="AG126" s="156">
        <v>265024</v>
      </c>
      <c r="AH126" s="156">
        <v>19428.3</v>
      </c>
      <c r="AI126" s="156">
        <v>115090</v>
      </c>
      <c r="AJ126" s="156">
        <v>5651</v>
      </c>
      <c r="AK126" s="157">
        <v>335178</v>
      </c>
      <c r="AL126" s="156">
        <v>109647</v>
      </c>
      <c r="AM126" s="157">
        <v>66649</v>
      </c>
      <c r="AN126" s="156">
        <v>0</v>
      </c>
      <c r="AO126" s="156">
        <v>196725</v>
      </c>
      <c r="AP126" s="157">
        <v>118319.831</v>
      </c>
      <c r="AQ126" s="156">
        <v>52897</v>
      </c>
      <c r="AR126" s="157">
        <v>72487</v>
      </c>
      <c r="AS126" s="156">
        <v>51528</v>
      </c>
      <c r="AT126" s="156">
        <v>17611</v>
      </c>
      <c r="AU126" s="156">
        <v>60008.375</v>
      </c>
      <c r="AV126" s="156">
        <v>52377</v>
      </c>
      <c r="AW126" s="156">
        <v>8130</v>
      </c>
      <c r="AX126" s="156">
        <v>0</v>
      </c>
      <c r="AY126" s="156">
        <f>-13503224/1000</f>
        <v>-13503.224</v>
      </c>
      <c r="AZ126" s="156">
        <v>14133</v>
      </c>
      <c r="BA126" s="156">
        <v>13374</v>
      </c>
      <c r="BB126" s="157">
        <v>0</v>
      </c>
      <c r="BC126" s="157">
        <v>2352</v>
      </c>
      <c r="BE126" s="16">
        <f t="shared" si="50"/>
        <v>63903509.613999985</v>
      </c>
      <c r="BF126" s="16"/>
      <c r="BG126" s="16">
        <f t="shared" si="51"/>
        <v>11172576.801</v>
      </c>
      <c r="BH126" s="16">
        <f t="shared" si="52"/>
        <v>52730932.812999986</v>
      </c>
      <c r="BI126" s="157"/>
    </row>
    <row r="127" spans="1:61" ht="11.25" customHeight="1" hidden="1" outlineLevel="1">
      <c r="A127" s="148" t="s">
        <v>323</v>
      </c>
      <c r="B127" s="156">
        <v>36436781</v>
      </c>
      <c r="C127" s="156">
        <v>11283964</v>
      </c>
      <c r="D127" s="156">
        <v>10674322</v>
      </c>
      <c r="E127" s="156">
        <v>13707216.125</v>
      </c>
      <c r="F127" s="156">
        <v>12023801</v>
      </c>
      <c r="G127" s="156">
        <v>6692941</v>
      </c>
      <c r="H127" s="156">
        <v>0</v>
      </c>
      <c r="I127" s="156">
        <v>8017549</v>
      </c>
      <c r="J127" s="156">
        <v>1529482</v>
      </c>
      <c r="K127" s="156">
        <v>292353</v>
      </c>
      <c r="L127" s="16">
        <v>1769147</v>
      </c>
      <c r="M127" s="156">
        <v>1696154</v>
      </c>
      <c r="N127" s="156">
        <v>8246173</v>
      </c>
      <c r="O127" s="156">
        <v>2402722</v>
      </c>
      <c r="P127" s="156">
        <v>3596596</v>
      </c>
      <c r="Q127" s="156">
        <v>374891</v>
      </c>
      <c r="R127" s="156">
        <v>2311412</v>
      </c>
      <c r="S127" s="156">
        <v>2746545</v>
      </c>
      <c r="T127" s="156">
        <v>2808460.088</v>
      </c>
      <c r="U127" s="156">
        <v>100000</v>
      </c>
      <c r="V127" s="156">
        <v>5618560</v>
      </c>
      <c r="W127" s="156">
        <v>12936367</v>
      </c>
      <c r="X127" s="156">
        <v>2360990</v>
      </c>
      <c r="Y127" s="156">
        <v>5042297.478</v>
      </c>
      <c r="Z127" s="156">
        <v>1124933.594</v>
      </c>
      <c r="AA127" s="156">
        <v>85294.036</v>
      </c>
      <c r="AB127" s="156">
        <v>850670</v>
      </c>
      <c r="AC127" s="156">
        <v>163021.459</v>
      </c>
      <c r="AD127" s="157">
        <v>402869.687</v>
      </c>
      <c r="AE127" s="79">
        <v>3621206</v>
      </c>
      <c r="AF127" s="157">
        <v>1008649.98</v>
      </c>
      <c r="AG127" s="156">
        <v>1801374</v>
      </c>
      <c r="AH127" s="156">
        <v>540515.5</v>
      </c>
      <c r="AI127" s="156">
        <v>1499401</v>
      </c>
      <c r="AJ127" s="156">
        <v>95280</v>
      </c>
      <c r="AK127" s="157">
        <v>0</v>
      </c>
      <c r="AL127" s="156">
        <v>525238</v>
      </c>
      <c r="AM127" s="157">
        <v>1789702</v>
      </c>
      <c r="AN127" s="156">
        <v>120787</v>
      </c>
      <c r="AO127" s="156">
        <v>369784</v>
      </c>
      <c r="AP127" s="157">
        <v>1660.318</v>
      </c>
      <c r="AQ127" s="156">
        <v>879216</v>
      </c>
      <c r="AR127" s="157">
        <v>86596</v>
      </c>
      <c r="AS127" s="156">
        <v>30019</v>
      </c>
      <c r="AT127" s="156">
        <v>481523</v>
      </c>
      <c r="AU127" s="156">
        <v>1319.919</v>
      </c>
      <c r="AV127" s="156">
        <v>92356</v>
      </c>
      <c r="AW127" s="156">
        <v>323538</v>
      </c>
      <c r="AX127" s="156">
        <v>0</v>
      </c>
      <c r="AY127" s="156">
        <f>-17686309/1000</f>
        <v>-17686.309</v>
      </c>
      <c r="AZ127" s="156">
        <v>11263</v>
      </c>
      <c r="BA127" s="156">
        <v>0</v>
      </c>
      <c r="BB127" s="156">
        <v>0</v>
      </c>
      <c r="BC127" s="156">
        <v>0</v>
      </c>
      <c r="BE127" s="16">
        <f t="shared" si="50"/>
        <v>168557254.875</v>
      </c>
      <c r="BF127" s="16"/>
      <c r="BG127" s="16">
        <f t="shared" si="51"/>
        <v>43428149.968</v>
      </c>
      <c r="BH127" s="16">
        <f t="shared" si="52"/>
        <v>125129104.907</v>
      </c>
      <c r="BI127" s="157"/>
    </row>
    <row r="128" spans="1:61" ht="11.25" customHeight="1" hidden="1" outlineLevel="1">
      <c r="A128" s="148" t="s">
        <v>324</v>
      </c>
      <c r="B128" s="156">
        <v>22116971</v>
      </c>
      <c r="C128" s="156">
        <v>12345164</v>
      </c>
      <c r="D128" s="156">
        <v>9637283</v>
      </c>
      <c r="E128" s="156">
        <v>12660348.768</v>
      </c>
      <c r="F128" s="156">
        <v>148734</v>
      </c>
      <c r="G128" s="156">
        <v>10469097</v>
      </c>
      <c r="H128" s="156">
        <v>0</v>
      </c>
      <c r="I128" s="156">
        <v>13946312</v>
      </c>
      <c r="J128" s="156">
        <v>437880</v>
      </c>
      <c r="K128" s="156">
        <v>361779</v>
      </c>
      <c r="L128" s="16">
        <v>133795</v>
      </c>
      <c r="M128" s="156">
        <v>766187</v>
      </c>
      <c r="N128" s="156">
        <v>1366039</v>
      </c>
      <c r="O128" s="156">
        <v>14300</v>
      </c>
      <c r="P128" s="156">
        <v>0</v>
      </c>
      <c r="Q128" s="156">
        <v>0</v>
      </c>
      <c r="R128" s="156">
        <v>492619</v>
      </c>
      <c r="S128" s="156">
        <v>3168334</v>
      </c>
      <c r="T128" s="156">
        <v>3461144.09</v>
      </c>
      <c r="U128" s="156">
        <v>396700</v>
      </c>
      <c r="V128" s="156">
        <v>2307829</v>
      </c>
      <c r="W128" s="156">
        <v>446987</v>
      </c>
      <c r="X128" s="156">
        <v>2509119</v>
      </c>
      <c r="Y128" s="156">
        <v>864240.791</v>
      </c>
      <c r="Z128" s="156">
        <v>1406509.346</v>
      </c>
      <c r="AA128" s="156">
        <v>106643.502</v>
      </c>
      <c r="AB128" s="156">
        <v>2156031</v>
      </c>
      <c r="AC128" s="156">
        <v>129510.925</v>
      </c>
      <c r="AD128" s="147">
        <v>0</v>
      </c>
      <c r="AE128" s="79">
        <v>789672</v>
      </c>
      <c r="AF128" s="157">
        <v>243177.534</v>
      </c>
      <c r="AG128" s="156">
        <v>1840912</v>
      </c>
      <c r="AH128" s="156">
        <v>17250.5</v>
      </c>
      <c r="AI128" s="156">
        <v>688469</v>
      </c>
      <c r="AJ128" s="156">
        <v>23004</v>
      </c>
      <c r="AK128" s="157">
        <v>0</v>
      </c>
      <c r="AL128" s="156">
        <v>261136</v>
      </c>
      <c r="AM128" s="157">
        <v>225666</v>
      </c>
      <c r="AN128" s="156">
        <v>0</v>
      </c>
      <c r="AO128" s="156">
        <v>0</v>
      </c>
      <c r="AP128" s="157">
        <v>46767.47</v>
      </c>
      <c r="AQ128" s="156">
        <v>33176</v>
      </c>
      <c r="AR128" s="157">
        <v>178733</v>
      </c>
      <c r="AS128" s="156">
        <v>554067</v>
      </c>
      <c r="AT128" s="156">
        <v>24995</v>
      </c>
      <c r="AU128" s="156">
        <v>22701.535</v>
      </c>
      <c r="AV128" s="156">
        <v>0</v>
      </c>
      <c r="AW128" s="156">
        <v>0</v>
      </c>
      <c r="AX128" s="156">
        <v>0</v>
      </c>
      <c r="AY128" s="156">
        <f>46671310/1000</f>
        <v>46671.31</v>
      </c>
      <c r="AZ128" s="156">
        <v>32505</v>
      </c>
      <c r="BA128" s="156">
        <v>0</v>
      </c>
      <c r="BB128" s="156">
        <v>0</v>
      </c>
      <c r="BC128" s="156">
        <v>0</v>
      </c>
      <c r="BE128" s="16">
        <f t="shared" si="50"/>
        <v>106878460.771</v>
      </c>
      <c r="BF128" s="16"/>
      <c r="BG128" s="16">
        <f t="shared" si="51"/>
        <v>25453309.205</v>
      </c>
      <c r="BH128" s="16">
        <f t="shared" si="52"/>
        <v>81425151.56599998</v>
      </c>
      <c r="BI128" s="157"/>
    </row>
    <row r="129" spans="1:61" ht="11.25" customHeight="1" hidden="1" outlineLevel="1">
      <c r="A129" s="148" t="s">
        <v>325</v>
      </c>
      <c r="B129" s="156">
        <v>0</v>
      </c>
      <c r="C129" s="156">
        <v>184570</v>
      </c>
      <c r="D129" s="156">
        <v>0</v>
      </c>
      <c r="E129" s="156">
        <v>0</v>
      </c>
      <c r="F129" s="156">
        <v>0</v>
      </c>
      <c r="G129" s="156">
        <v>0</v>
      </c>
      <c r="H129" s="156">
        <v>0</v>
      </c>
      <c r="I129" s="156">
        <v>218225</v>
      </c>
      <c r="J129" s="156">
        <v>0</v>
      </c>
      <c r="K129" s="156">
        <v>0</v>
      </c>
      <c r="L129" s="16">
        <v>0</v>
      </c>
      <c r="M129" s="156">
        <v>0</v>
      </c>
      <c r="N129" s="156">
        <v>0</v>
      </c>
      <c r="O129" s="156">
        <v>0</v>
      </c>
      <c r="P129" s="156">
        <v>0</v>
      </c>
      <c r="Q129" s="156">
        <v>0</v>
      </c>
      <c r="R129" s="156">
        <v>0</v>
      </c>
      <c r="S129" s="156">
        <v>0</v>
      </c>
      <c r="T129" s="156">
        <v>0</v>
      </c>
      <c r="U129" s="156">
        <v>217703.384</v>
      </c>
      <c r="V129" s="156">
        <v>0</v>
      </c>
      <c r="W129" s="156">
        <v>100000</v>
      </c>
      <c r="X129" s="156">
        <v>354411</v>
      </c>
      <c r="Y129" s="156">
        <v>97084.529</v>
      </c>
      <c r="Z129" s="156">
        <v>0</v>
      </c>
      <c r="AA129" s="156">
        <v>0</v>
      </c>
      <c r="AB129" s="156">
        <v>0</v>
      </c>
      <c r="AC129" s="156">
        <v>0</v>
      </c>
      <c r="AD129" s="147">
        <v>0</v>
      </c>
      <c r="AE129" s="79">
        <v>0</v>
      </c>
      <c r="AF129" s="157">
        <v>0</v>
      </c>
      <c r="AG129" s="156">
        <v>-5239</v>
      </c>
      <c r="AH129" s="156">
        <v>0</v>
      </c>
      <c r="AI129" s="156">
        <v>0</v>
      </c>
      <c r="AJ129" s="156">
        <v>0</v>
      </c>
      <c r="AK129" s="156">
        <v>0</v>
      </c>
      <c r="AL129" s="156">
        <v>285274</v>
      </c>
      <c r="AM129" s="157">
        <v>0</v>
      </c>
      <c r="AN129" s="156">
        <v>0</v>
      </c>
      <c r="AO129" s="156">
        <v>0</v>
      </c>
      <c r="AP129" s="157">
        <v>21542.959</v>
      </c>
      <c r="AQ129" s="157">
        <v>0</v>
      </c>
      <c r="AR129" s="157">
        <v>0</v>
      </c>
      <c r="AS129" s="156">
        <v>0</v>
      </c>
      <c r="AT129" s="157">
        <v>0</v>
      </c>
      <c r="AU129" s="157">
        <v>0</v>
      </c>
      <c r="AV129" s="157">
        <v>0</v>
      </c>
      <c r="AW129" s="157">
        <v>0</v>
      </c>
      <c r="AX129" s="157">
        <v>0</v>
      </c>
      <c r="AY129" s="156">
        <v>0</v>
      </c>
      <c r="AZ129" s="156">
        <v>0</v>
      </c>
      <c r="BA129" s="156">
        <v>0</v>
      </c>
      <c r="BB129" s="156">
        <v>0</v>
      </c>
      <c r="BC129" s="156">
        <v>0</v>
      </c>
      <c r="BE129" s="16">
        <f t="shared" si="50"/>
        <v>1473571.8720000002</v>
      </c>
      <c r="BF129" s="16"/>
      <c r="BG129" s="16">
        <f t="shared" si="51"/>
        <v>21542.959</v>
      </c>
      <c r="BH129" s="16">
        <f t="shared" si="52"/>
        <v>1452028.9130000002</v>
      </c>
      <c r="BI129" s="157"/>
    </row>
    <row r="130" spans="1:61" ht="11.25" customHeight="1" hidden="1" outlineLevel="1">
      <c r="A130" s="148" t="s">
        <v>326</v>
      </c>
      <c r="B130" s="159">
        <v>0</v>
      </c>
      <c r="C130" s="156">
        <v>0</v>
      </c>
      <c r="D130" s="156">
        <v>0</v>
      </c>
      <c r="E130" s="156">
        <v>0</v>
      </c>
      <c r="F130" s="156">
        <v>0</v>
      </c>
      <c r="G130" s="156">
        <v>0</v>
      </c>
      <c r="H130" s="156">
        <v>0</v>
      </c>
      <c r="I130" s="156"/>
      <c r="J130" s="156">
        <v>0</v>
      </c>
      <c r="K130" s="156">
        <v>0</v>
      </c>
      <c r="L130" s="16">
        <v>0</v>
      </c>
      <c r="M130" s="156">
        <v>126476</v>
      </c>
      <c r="N130" s="156">
        <v>0</v>
      </c>
      <c r="O130" s="156">
        <v>0</v>
      </c>
      <c r="P130" s="156">
        <v>0</v>
      </c>
      <c r="Q130" s="156">
        <v>0</v>
      </c>
      <c r="R130" s="156">
        <v>0</v>
      </c>
      <c r="S130" s="156">
        <v>17800</v>
      </c>
      <c r="T130" s="156">
        <v>0</v>
      </c>
      <c r="U130" s="156">
        <v>0</v>
      </c>
      <c r="V130" s="156">
        <v>0</v>
      </c>
      <c r="W130" s="156">
        <v>11891</v>
      </c>
      <c r="X130" s="156">
        <v>0</v>
      </c>
      <c r="Y130" s="156">
        <v>0</v>
      </c>
      <c r="Z130" s="156">
        <v>0</v>
      </c>
      <c r="AA130" s="156">
        <v>0</v>
      </c>
      <c r="AB130" s="156">
        <v>0</v>
      </c>
      <c r="AC130" s="156">
        <v>0</v>
      </c>
      <c r="AD130" s="147">
        <v>0</v>
      </c>
      <c r="AE130" s="79">
        <v>0</v>
      </c>
      <c r="AF130" s="157">
        <v>0</v>
      </c>
      <c r="AG130" s="156">
        <v>0</v>
      </c>
      <c r="AH130" s="156">
        <v>0</v>
      </c>
      <c r="AI130" s="156">
        <v>0</v>
      </c>
      <c r="AJ130" s="156">
        <v>0</v>
      </c>
      <c r="AK130" s="156">
        <v>0</v>
      </c>
      <c r="AL130" s="156">
        <v>0</v>
      </c>
      <c r="AM130" s="157">
        <v>0</v>
      </c>
      <c r="AN130" s="156">
        <v>0</v>
      </c>
      <c r="AO130" s="156">
        <v>0</v>
      </c>
      <c r="AP130" s="157">
        <v>0</v>
      </c>
      <c r="AQ130" s="157">
        <v>0</v>
      </c>
      <c r="AR130" s="157">
        <v>0</v>
      </c>
      <c r="AS130" s="156">
        <v>0</v>
      </c>
      <c r="AT130" s="157">
        <v>0</v>
      </c>
      <c r="AU130" s="156">
        <v>2694.891</v>
      </c>
      <c r="AV130" s="157">
        <v>0</v>
      </c>
      <c r="AW130" s="157">
        <v>0</v>
      </c>
      <c r="AX130" s="156">
        <v>0</v>
      </c>
      <c r="AY130" s="156">
        <v>0</v>
      </c>
      <c r="AZ130" s="156">
        <v>0</v>
      </c>
      <c r="BA130" s="156">
        <v>0</v>
      </c>
      <c r="BB130" s="156">
        <v>0</v>
      </c>
      <c r="BC130" s="156">
        <v>0</v>
      </c>
      <c r="BE130" s="16">
        <f t="shared" si="50"/>
        <v>158861.891</v>
      </c>
      <c r="BF130" s="16"/>
      <c r="BG130" s="16">
        <f t="shared" si="51"/>
        <v>0</v>
      </c>
      <c r="BH130" s="16">
        <f t="shared" si="52"/>
        <v>158861.891</v>
      </c>
      <c r="BI130" s="157"/>
    </row>
    <row r="131" spans="1:61" ht="11.25" customHeight="1" hidden="1" outlineLevel="1">
      <c r="A131" s="148" t="s">
        <v>327</v>
      </c>
      <c r="B131" s="156">
        <v>0</v>
      </c>
      <c r="C131" s="156">
        <v>0</v>
      </c>
      <c r="D131" s="156">
        <v>117780</v>
      </c>
      <c r="E131" s="156">
        <v>0</v>
      </c>
      <c r="F131" s="156">
        <v>0</v>
      </c>
      <c r="G131" s="156">
        <v>487584</v>
      </c>
      <c r="H131" s="156">
        <v>0</v>
      </c>
      <c r="I131" s="156">
        <f>-80929+22000</f>
        <v>-58929</v>
      </c>
      <c r="J131" s="156">
        <v>0</v>
      </c>
      <c r="K131" s="156">
        <v>0</v>
      </c>
      <c r="L131" s="16">
        <v>1402.6</v>
      </c>
      <c r="M131" s="156">
        <v>2753</v>
      </c>
      <c r="N131" s="156">
        <v>7690</v>
      </c>
      <c r="O131" s="156">
        <v>15781</v>
      </c>
      <c r="P131" s="156">
        <v>20239</v>
      </c>
      <c r="Q131" s="156">
        <v>2110</v>
      </c>
      <c r="R131" s="156">
        <v>9514</v>
      </c>
      <c r="S131" s="156">
        <v>2144</v>
      </c>
      <c r="T131" s="156">
        <v>0</v>
      </c>
      <c r="U131" s="156">
        <v>35521.744</v>
      </c>
      <c r="V131" s="156">
        <v>0</v>
      </c>
      <c r="W131" s="156">
        <v>0</v>
      </c>
      <c r="X131" s="156">
        <v>0</v>
      </c>
      <c r="Y131" s="156">
        <v>0</v>
      </c>
      <c r="Z131" s="156">
        <v>5821.858</v>
      </c>
      <c r="AA131" s="156">
        <v>441.421</v>
      </c>
      <c r="AB131" s="156">
        <v>609</v>
      </c>
      <c r="AC131" s="156">
        <v>0</v>
      </c>
      <c r="AD131" s="147">
        <v>0</v>
      </c>
      <c r="AE131" s="79">
        <v>5411</v>
      </c>
      <c r="AF131" s="157">
        <v>0</v>
      </c>
      <c r="AG131" s="156">
        <v>0</v>
      </c>
      <c r="AH131" s="156">
        <v>0</v>
      </c>
      <c r="AI131" s="156">
        <v>0</v>
      </c>
      <c r="AJ131" s="156">
        <v>0</v>
      </c>
      <c r="AK131" s="157">
        <v>0</v>
      </c>
      <c r="AL131" s="156">
        <v>0</v>
      </c>
      <c r="AM131" s="157">
        <v>0</v>
      </c>
      <c r="AN131" s="156">
        <v>197</v>
      </c>
      <c r="AO131" s="156">
        <v>841</v>
      </c>
      <c r="AP131" s="157">
        <v>1520.629</v>
      </c>
      <c r="AQ131" s="157">
        <v>0</v>
      </c>
      <c r="AR131" s="157">
        <v>1965</v>
      </c>
      <c r="AS131" s="156">
        <v>0</v>
      </c>
      <c r="AT131" s="156">
        <v>0</v>
      </c>
      <c r="AU131" s="156">
        <v>930.794</v>
      </c>
      <c r="AV131" s="157">
        <v>0</v>
      </c>
      <c r="AW131" s="157">
        <v>2528</v>
      </c>
      <c r="AX131" s="156">
        <v>0</v>
      </c>
      <c r="AY131" s="156">
        <v>0</v>
      </c>
      <c r="AZ131" s="156">
        <v>1000</v>
      </c>
      <c r="BA131" s="156">
        <v>1661</v>
      </c>
      <c r="BB131" s="157">
        <v>0</v>
      </c>
      <c r="BC131" s="157">
        <v>28827</v>
      </c>
      <c r="BE131" s="16">
        <f t="shared" si="50"/>
        <v>695344.0459999999</v>
      </c>
      <c r="BF131" s="16"/>
      <c r="BG131" s="16">
        <f t="shared" si="51"/>
        <v>35814.629</v>
      </c>
      <c r="BH131" s="16">
        <f t="shared" si="52"/>
        <v>659529.4169999999</v>
      </c>
      <c r="BI131" s="157"/>
    </row>
    <row r="132" spans="1:61" ht="11.25" customHeight="1" collapsed="1">
      <c r="A132" s="169" t="s">
        <v>328</v>
      </c>
      <c r="B132" s="156">
        <f aca="true" t="shared" si="53" ref="B132:AO132">SUM(B123:B131)</f>
        <v>88173398</v>
      </c>
      <c r="C132" s="156">
        <f t="shared" si="53"/>
        <v>38963843</v>
      </c>
      <c r="D132" s="156">
        <f t="shared" si="53"/>
        <v>44207241</v>
      </c>
      <c r="E132" s="156">
        <f t="shared" si="53"/>
        <v>37311266.392</v>
      </c>
      <c r="F132" s="156">
        <f t="shared" si="53"/>
        <v>21269209</v>
      </c>
      <c r="G132" s="156">
        <f t="shared" si="53"/>
        <v>31242200</v>
      </c>
      <c r="H132" s="156">
        <f t="shared" si="53"/>
        <v>503374</v>
      </c>
      <c r="I132" s="156">
        <f t="shared" si="53"/>
        <v>26796573</v>
      </c>
      <c r="J132" s="156">
        <f>SUM(J123:J131)</f>
        <v>3071649</v>
      </c>
      <c r="K132" s="156">
        <f t="shared" si="53"/>
        <v>5080382</v>
      </c>
      <c r="L132" s="156">
        <f t="shared" si="53"/>
        <v>3303642.6</v>
      </c>
      <c r="M132" s="156">
        <f t="shared" si="53"/>
        <v>7740480</v>
      </c>
      <c r="N132" s="156">
        <f t="shared" si="53"/>
        <v>14555771</v>
      </c>
      <c r="O132" s="156">
        <f t="shared" si="53"/>
        <v>4558586</v>
      </c>
      <c r="P132" s="156">
        <f t="shared" si="53"/>
        <v>10344401</v>
      </c>
      <c r="Q132" s="156">
        <f t="shared" si="53"/>
        <v>1391120</v>
      </c>
      <c r="R132" s="156">
        <f>SUM(R123:R131)</f>
        <v>4970988</v>
      </c>
      <c r="S132" s="156">
        <f t="shared" si="53"/>
        <v>7924853</v>
      </c>
      <c r="T132" s="156">
        <f t="shared" si="53"/>
        <v>8799652.598</v>
      </c>
      <c r="U132" s="156">
        <f t="shared" si="53"/>
        <v>3016078.75</v>
      </c>
      <c r="V132" s="156">
        <f>SUM(V123:V131)</f>
        <v>11398336</v>
      </c>
      <c r="W132" s="156">
        <f t="shared" si="53"/>
        <v>15231643</v>
      </c>
      <c r="X132" s="156">
        <f t="shared" si="53"/>
        <v>6710907</v>
      </c>
      <c r="Y132" s="156">
        <f t="shared" si="53"/>
        <v>7206065.94</v>
      </c>
      <c r="Z132" s="156">
        <f>SUM(Z123:Z131)</f>
        <v>5446709.599</v>
      </c>
      <c r="AA132" s="156">
        <f>SUM(AA123:AA131)</f>
        <v>412977.12599999993</v>
      </c>
      <c r="AB132" s="156">
        <f>SUM(AB123:AB131)</f>
        <v>4952062</v>
      </c>
      <c r="AC132" s="156">
        <f t="shared" si="53"/>
        <v>5749626.863</v>
      </c>
      <c r="AD132" s="156">
        <f>SUM(AD123:AD131)</f>
        <v>660287.45</v>
      </c>
      <c r="AE132" s="156">
        <f t="shared" si="53"/>
        <v>5627890</v>
      </c>
      <c r="AF132" s="156">
        <f t="shared" si="53"/>
        <v>2232088.403</v>
      </c>
      <c r="AG132" s="156">
        <f t="shared" si="53"/>
        <v>4502832</v>
      </c>
      <c r="AH132" s="156">
        <f t="shared" si="53"/>
        <v>1010618.1</v>
      </c>
      <c r="AI132" s="156">
        <f t="shared" si="53"/>
        <v>2402361</v>
      </c>
      <c r="AJ132" s="156">
        <f t="shared" si="53"/>
        <v>131789</v>
      </c>
      <c r="AK132" s="156">
        <f t="shared" si="53"/>
        <v>622985</v>
      </c>
      <c r="AL132" s="156">
        <f t="shared" si="53"/>
        <v>1317640</v>
      </c>
      <c r="AM132" s="157">
        <f t="shared" si="53"/>
        <v>2132317</v>
      </c>
      <c r="AN132" s="156">
        <f>SUM(AN123:AN131)</f>
        <v>160558</v>
      </c>
      <c r="AO132" s="156">
        <f t="shared" si="53"/>
        <v>740137</v>
      </c>
      <c r="AP132" s="156">
        <f aca="true" t="shared" si="54" ref="AP132:BC132">SUM(AP123:AP131)</f>
        <v>331477.773</v>
      </c>
      <c r="AQ132" s="156">
        <f t="shared" si="54"/>
        <v>991223</v>
      </c>
      <c r="AR132" s="156">
        <f t="shared" si="54"/>
        <v>546538</v>
      </c>
      <c r="AS132" s="156">
        <f t="shared" si="54"/>
        <v>695741</v>
      </c>
      <c r="AT132" s="156">
        <f t="shared" si="54"/>
        <v>541689</v>
      </c>
      <c r="AU132" s="156">
        <f t="shared" si="54"/>
        <v>127668.33899999999</v>
      </c>
      <c r="AV132" s="156">
        <f t="shared" si="54"/>
        <v>195302</v>
      </c>
      <c r="AW132" s="156">
        <f t="shared" si="54"/>
        <v>345307</v>
      </c>
      <c r="AX132" s="156">
        <f t="shared" si="54"/>
        <v>77875.901</v>
      </c>
      <c r="AY132" s="156">
        <f t="shared" si="54"/>
        <v>56819.70399999999</v>
      </c>
      <c r="AZ132" s="156">
        <f t="shared" si="54"/>
        <v>95390</v>
      </c>
      <c r="BA132" s="156">
        <f t="shared" si="54"/>
        <v>150068</v>
      </c>
      <c r="BB132" s="156">
        <f>SUM(BB123:BB131)</f>
        <v>6</v>
      </c>
      <c r="BC132" s="156">
        <f t="shared" si="54"/>
        <v>60928</v>
      </c>
      <c r="BE132" s="16">
        <f t="shared" si="50"/>
        <v>446090572.5379999</v>
      </c>
      <c r="BF132" s="16"/>
      <c r="BG132" s="16">
        <f t="shared" si="51"/>
        <v>109336169.44</v>
      </c>
      <c r="BH132" s="16">
        <f t="shared" si="52"/>
        <v>336754403.09799993</v>
      </c>
      <c r="BI132" s="157"/>
    </row>
    <row r="133" spans="1:61" ht="11.25" customHeight="1">
      <c r="A133" s="169"/>
      <c r="B133" s="156"/>
      <c r="C133" s="156"/>
      <c r="D133" s="159"/>
      <c r="E133" s="159"/>
      <c r="F133" s="159"/>
      <c r="G133" s="159"/>
      <c r="H133" s="159"/>
      <c r="I133" s="159"/>
      <c r="J133" s="159"/>
      <c r="K133" s="159"/>
      <c r="L133" s="158"/>
      <c r="M133" s="159"/>
      <c r="N133" s="159"/>
      <c r="O133" s="159"/>
      <c r="P133" s="159"/>
      <c r="Q133" s="159"/>
      <c r="R133" s="158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E133" s="159"/>
      <c r="AG133" s="159"/>
      <c r="AH133" s="158"/>
      <c r="AI133" s="159"/>
      <c r="AJ133" s="159"/>
      <c r="AL133" s="159"/>
      <c r="AM133" s="168"/>
      <c r="AN133" s="159"/>
      <c r="AO133" s="159"/>
      <c r="AQ133" s="159"/>
      <c r="AS133" s="159"/>
      <c r="AT133" s="159"/>
      <c r="AU133" s="159"/>
      <c r="AV133" s="159"/>
      <c r="AW133" s="159"/>
      <c r="AX133" s="159">
        <v>0</v>
      </c>
      <c r="AY133" s="159"/>
      <c r="AZ133" s="159"/>
      <c r="BA133" s="159"/>
      <c r="BE133" s="16"/>
      <c r="BF133" s="16"/>
      <c r="BG133" s="16"/>
      <c r="BH133" s="16"/>
      <c r="BI133" s="157"/>
    </row>
    <row r="134" spans="1:61" ht="11.25" customHeight="1" hidden="1" outlineLevel="1">
      <c r="A134" s="169" t="s">
        <v>329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8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7"/>
      <c r="AE134" s="156"/>
      <c r="AF134" s="157"/>
      <c r="AG134" s="156"/>
      <c r="AH134" s="156"/>
      <c r="AI134" s="156"/>
      <c r="AJ134" s="156"/>
      <c r="AK134" s="157"/>
      <c r="AL134" s="156"/>
      <c r="AM134" s="157"/>
      <c r="AN134" s="156"/>
      <c r="AO134" s="156"/>
      <c r="AP134" s="157"/>
      <c r="AQ134" s="156"/>
      <c r="AR134" s="157"/>
      <c r="AS134" s="156"/>
      <c r="AT134" s="156"/>
      <c r="AU134" s="156"/>
      <c r="AV134" s="156"/>
      <c r="AW134" s="156"/>
      <c r="AX134" s="156">
        <v>0</v>
      </c>
      <c r="AY134" s="156"/>
      <c r="AZ134" s="156"/>
      <c r="BA134" s="156"/>
      <c r="BB134" s="157"/>
      <c r="BC134" s="157"/>
      <c r="BE134" s="16"/>
      <c r="BF134" s="16"/>
      <c r="BG134" s="16"/>
      <c r="BH134" s="16"/>
      <c r="BI134" s="157"/>
    </row>
    <row r="135" spans="1:61" ht="11.25" customHeight="1" hidden="1" outlineLevel="1">
      <c r="A135" s="148" t="s">
        <v>271</v>
      </c>
      <c r="B135" s="156">
        <v>10875895</v>
      </c>
      <c r="C135" s="156">
        <v>208938</v>
      </c>
      <c r="D135" s="156">
        <v>2623126</v>
      </c>
      <c r="E135" s="156">
        <v>2262831.869</v>
      </c>
      <c r="F135" s="156">
        <v>1403416</v>
      </c>
      <c r="G135" s="156">
        <v>1690712</v>
      </c>
      <c r="H135" s="156">
        <v>2501</v>
      </c>
      <c r="I135" s="156">
        <v>1127943</v>
      </c>
      <c r="J135" s="156">
        <v>20307</v>
      </c>
      <c r="K135" s="156">
        <v>357749</v>
      </c>
      <c r="L135" s="156">
        <v>39385</v>
      </c>
      <c r="M135" s="156">
        <v>305200</v>
      </c>
      <c r="N135" s="156">
        <v>709745</v>
      </c>
      <c r="O135" s="156">
        <v>24907</v>
      </c>
      <c r="P135" s="156">
        <v>860769</v>
      </c>
      <c r="Q135" s="156">
        <v>9195</v>
      </c>
      <c r="R135" s="156">
        <v>383300</v>
      </c>
      <c r="S135" s="156">
        <v>445936</v>
      </c>
      <c r="T135" s="156">
        <v>404508.515</v>
      </c>
      <c r="U135" s="156">
        <v>178129.017</v>
      </c>
      <c r="V135" s="156">
        <v>743708</v>
      </c>
      <c r="W135" s="156">
        <v>552357</v>
      </c>
      <c r="X135" s="156">
        <v>343148</v>
      </c>
      <c r="Y135" s="156">
        <v>671172.517</v>
      </c>
      <c r="Z135" s="156">
        <v>78107.155</v>
      </c>
      <c r="AA135" s="156">
        <v>5922.194</v>
      </c>
      <c r="AB135" s="156">
        <v>321928</v>
      </c>
      <c r="AC135" s="156">
        <v>1353449.593</v>
      </c>
      <c r="AD135" s="157">
        <v>2460.732</v>
      </c>
      <c r="AE135" s="79">
        <v>317815</v>
      </c>
      <c r="AF135" s="157">
        <v>281154.131</v>
      </c>
      <c r="AG135" s="156">
        <v>205061</v>
      </c>
      <c r="AH135" s="156">
        <v>111190</v>
      </c>
      <c r="AI135" s="156">
        <v>119571</v>
      </c>
      <c r="AJ135" s="156">
        <v>28940</v>
      </c>
      <c r="AK135" s="157">
        <v>70864</v>
      </c>
      <c r="AL135" s="79">
        <v>57974</v>
      </c>
      <c r="AM135" s="8">
        <v>103385</v>
      </c>
      <c r="AN135" s="156">
        <v>1229</v>
      </c>
      <c r="AO135" s="156">
        <v>118439</v>
      </c>
      <c r="AP135" s="157">
        <v>60948.683</v>
      </c>
      <c r="AQ135" s="156">
        <v>75303</v>
      </c>
      <c r="AR135" s="157">
        <v>180957</v>
      </c>
      <c r="AS135" s="156">
        <v>70104</v>
      </c>
      <c r="AT135" s="156">
        <v>39932</v>
      </c>
      <c r="AU135" s="156">
        <v>38412.9</v>
      </c>
      <c r="AV135" s="156">
        <v>35932</v>
      </c>
      <c r="AW135" s="156">
        <v>37904</v>
      </c>
      <c r="AX135" s="156">
        <v>38926</v>
      </c>
      <c r="AY135" s="156">
        <f>37961052/1000</f>
        <v>37961.052</v>
      </c>
      <c r="AZ135" s="156">
        <v>31999</v>
      </c>
      <c r="BA135" s="156">
        <v>143765</v>
      </c>
      <c r="BB135" s="157">
        <v>797</v>
      </c>
      <c r="BC135" s="157">
        <v>56222</v>
      </c>
      <c r="BE135" s="16">
        <f aca="true" t="shared" si="55" ref="BE135:BE140">SUM(B135:BC135)</f>
        <v>30271532.358</v>
      </c>
      <c r="BF135" s="16"/>
      <c r="BG135" s="16">
        <f aca="true" t="shared" si="56" ref="BG135:BG140">+B135+AC135+AH135+AJ135+AO135+AP135+AR135+AS135+AV135+AY135+AZ135+BA135+BC135+V135</f>
        <v>13849510.328</v>
      </c>
      <c r="BH135" s="16">
        <f aca="true" t="shared" si="57" ref="BH135:BH140">+C135+D135+E135+F135+G135+H135+I135+J135+K135+L135+M135+N135+O135+P135+Q135+R135+S135+T135+U135+W135+X135+Y135+Z135+AA135+AB135+AD135+AE135+AF135+AG135+AI135+AK135+AL135+AM135+AN135+AQ135+AT135+AU135+AW135+AX135+BB135</f>
        <v>16422022.030000001</v>
      </c>
      <c r="BI135" s="157"/>
    </row>
    <row r="136" spans="1:61" ht="11.25" customHeight="1" hidden="1" outlineLevel="1">
      <c r="A136" s="148" t="s">
        <v>330</v>
      </c>
      <c r="B136" s="156">
        <v>396536</v>
      </c>
      <c r="C136" s="156">
        <v>156624</v>
      </c>
      <c r="D136" s="156">
        <v>145662</v>
      </c>
      <c r="E136" s="156">
        <v>64155.408</v>
      </c>
      <c r="F136" s="156">
        <v>29739</v>
      </c>
      <c r="G136" s="156">
        <v>85079</v>
      </c>
      <c r="H136" s="156">
        <v>3092</v>
      </c>
      <c r="I136" s="156">
        <v>25388</v>
      </c>
      <c r="J136" s="156">
        <v>16115</v>
      </c>
      <c r="K136" s="156">
        <v>25076</v>
      </c>
      <c r="L136" s="16">
        <v>468</v>
      </c>
      <c r="M136" s="156">
        <v>39545</v>
      </c>
      <c r="N136" s="156">
        <v>6021</v>
      </c>
      <c r="O136" s="156">
        <v>1662</v>
      </c>
      <c r="P136" s="156">
        <v>22123</v>
      </c>
      <c r="Q136" s="156">
        <v>5381</v>
      </c>
      <c r="R136" s="156">
        <v>9577</v>
      </c>
      <c r="S136" s="156">
        <v>34279</v>
      </c>
      <c r="T136" s="156">
        <v>25690.217</v>
      </c>
      <c r="U136" s="156">
        <v>24759.008</v>
      </c>
      <c r="V136" s="156">
        <v>51720</v>
      </c>
      <c r="W136" s="156">
        <v>779</v>
      </c>
      <c r="X136" s="156">
        <v>12234</v>
      </c>
      <c r="Y136" s="156">
        <v>18594.728</v>
      </c>
      <c r="Z136" s="156">
        <v>8745.517</v>
      </c>
      <c r="AA136" s="156">
        <v>663.097</v>
      </c>
      <c r="AB136" s="156">
        <v>17242</v>
      </c>
      <c r="AC136" s="156">
        <v>1111.399</v>
      </c>
      <c r="AD136" s="157">
        <v>2137.7</v>
      </c>
      <c r="AE136" s="79">
        <v>9240</v>
      </c>
      <c r="AF136" s="157">
        <v>0</v>
      </c>
      <c r="AG136" s="156">
        <v>32172</v>
      </c>
      <c r="AH136" s="156">
        <v>1722</v>
      </c>
      <c r="AI136" s="156">
        <v>5105</v>
      </c>
      <c r="AJ136" s="156">
        <v>551</v>
      </c>
      <c r="AK136" s="157">
        <v>5755</v>
      </c>
      <c r="AL136" s="79">
        <v>3309</v>
      </c>
      <c r="AM136" s="8">
        <v>233</v>
      </c>
      <c r="AN136" s="156">
        <v>0</v>
      </c>
      <c r="AO136" s="156">
        <v>2479</v>
      </c>
      <c r="AP136" s="157">
        <v>2883.257</v>
      </c>
      <c r="AQ136" s="156">
        <v>846</v>
      </c>
      <c r="AR136" s="157">
        <v>1277</v>
      </c>
      <c r="AS136" s="156">
        <v>1361</v>
      </c>
      <c r="AT136" s="156">
        <v>698</v>
      </c>
      <c r="AU136" s="156">
        <v>185.043</v>
      </c>
      <c r="AV136" s="156">
        <v>72</v>
      </c>
      <c r="AW136" s="156">
        <v>53</v>
      </c>
      <c r="AX136" s="156">
        <v>0</v>
      </c>
      <c r="AY136" s="156">
        <f>56488/1000</f>
        <v>56.488</v>
      </c>
      <c r="AZ136" s="156">
        <v>1573</v>
      </c>
      <c r="BA136" s="156">
        <v>0</v>
      </c>
      <c r="BB136" s="156">
        <v>0</v>
      </c>
      <c r="BC136" s="156">
        <v>0</v>
      </c>
      <c r="BE136" s="16">
        <f t="shared" si="55"/>
        <v>1299769.8619999997</v>
      </c>
      <c r="BF136" s="16"/>
      <c r="BG136" s="16">
        <f t="shared" si="56"/>
        <v>461342.144</v>
      </c>
      <c r="BH136" s="16">
        <f t="shared" si="57"/>
        <v>838427.7179999999</v>
      </c>
      <c r="BI136" s="157"/>
    </row>
    <row r="137" spans="1:61" ht="11.25" customHeight="1" hidden="1" outlineLevel="1">
      <c r="A137" s="148" t="s">
        <v>331</v>
      </c>
      <c r="B137" s="156">
        <v>184157</v>
      </c>
      <c r="C137" s="156">
        <v>37549</v>
      </c>
      <c r="D137" s="156">
        <v>144907</v>
      </c>
      <c r="E137" s="156">
        <v>111505.764</v>
      </c>
      <c r="F137" s="156">
        <v>76520</v>
      </c>
      <c r="G137" s="156">
        <v>80259</v>
      </c>
      <c r="H137" s="156">
        <v>2274</v>
      </c>
      <c r="I137" s="156">
        <v>52102</v>
      </c>
      <c r="J137" s="156">
        <v>9052</v>
      </c>
      <c r="K137" s="156">
        <v>55541</v>
      </c>
      <c r="L137" s="16">
        <v>18299</v>
      </c>
      <c r="M137" s="156">
        <v>32912</v>
      </c>
      <c r="N137" s="156">
        <v>28553</v>
      </c>
      <c r="O137" s="156">
        <v>7971</v>
      </c>
      <c r="P137" s="156">
        <v>17602</v>
      </c>
      <c r="Q137" s="156">
        <v>10627</v>
      </c>
      <c r="R137" s="156">
        <v>14180</v>
      </c>
      <c r="S137" s="156">
        <v>24016</v>
      </c>
      <c r="T137" s="156">
        <v>45418.583</v>
      </c>
      <c r="U137" s="156">
        <v>29158.04</v>
      </c>
      <c r="V137" s="156">
        <v>16441</v>
      </c>
      <c r="W137" s="156">
        <v>59916</v>
      </c>
      <c r="X137" s="156">
        <v>19997</v>
      </c>
      <c r="Y137" s="156">
        <v>26611.653</v>
      </c>
      <c r="Z137" s="156">
        <v>39591.17</v>
      </c>
      <c r="AA137" s="156">
        <v>3001.858</v>
      </c>
      <c r="AB137" s="156">
        <v>13474</v>
      </c>
      <c r="AC137" s="156">
        <v>25637.948</v>
      </c>
      <c r="AD137" s="157">
        <v>5340.655</v>
      </c>
      <c r="AE137" s="79">
        <v>12155</v>
      </c>
      <c r="AF137" s="157">
        <v>7456.141</v>
      </c>
      <c r="AG137" s="156">
        <v>16931</v>
      </c>
      <c r="AH137" s="156">
        <v>2600</v>
      </c>
      <c r="AI137" s="156">
        <v>7456</v>
      </c>
      <c r="AJ137" s="156">
        <v>739</v>
      </c>
      <c r="AK137" s="157">
        <v>4657</v>
      </c>
      <c r="AL137" s="79">
        <v>4628</v>
      </c>
      <c r="AM137" s="8">
        <v>2741</v>
      </c>
      <c r="AN137" s="156">
        <v>345</v>
      </c>
      <c r="AO137" s="156">
        <v>8324</v>
      </c>
      <c r="AP137" s="157">
        <v>6840.581</v>
      </c>
      <c r="AQ137" s="156">
        <v>2170</v>
      </c>
      <c r="AR137" s="157">
        <v>4371</v>
      </c>
      <c r="AS137" s="156">
        <v>724</v>
      </c>
      <c r="AT137" s="156">
        <v>892</v>
      </c>
      <c r="AU137" s="156">
        <v>1258.341</v>
      </c>
      <c r="AV137" s="156">
        <v>3542</v>
      </c>
      <c r="AW137" s="156">
        <v>2289</v>
      </c>
      <c r="AX137" s="156">
        <v>396</v>
      </c>
      <c r="AY137" s="156">
        <f>3736441/1000</f>
        <v>3736.441</v>
      </c>
      <c r="AZ137" s="156">
        <v>1573</v>
      </c>
      <c r="BA137" s="156">
        <v>2453</v>
      </c>
      <c r="BB137" s="157">
        <v>0</v>
      </c>
      <c r="BC137" s="157">
        <v>3818</v>
      </c>
      <c r="BE137" s="16">
        <f t="shared" si="55"/>
        <v>1294710.1750000003</v>
      </c>
      <c r="BF137" s="16"/>
      <c r="BG137" s="16">
        <f t="shared" si="56"/>
        <v>264956.97</v>
      </c>
      <c r="BH137" s="16">
        <f t="shared" si="57"/>
        <v>1029753.2050000001</v>
      </c>
      <c r="BI137" s="157"/>
    </row>
    <row r="138" spans="1:61" ht="11.25" customHeight="1" hidden="1" outlineLevel="1">
      <c r="A138" s="148" t="s">
        <v>332</v>
      </c>
      <c r="B138" s="156">
        <v>127181</v>
      </c>
      <c r="C138" s="156">
        <v>0</v>
      </c>
      <c r="D138" s="156">
        <v>0</v>
      </c>
      <c r="E138" s="156">
        <v>230397.707</v>
      </c>
      <c r="F138" s="156">
        <v>0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8">
        <v>0</v>
      </c>
      <c r="M138" s="156">
        <v>0</v>
      </c>
      <c r="N138" s="156">
        <v>0</v>
      </c>
      <c r="O138" s="156">
        <v>0</v>
      </c>
      <c r="P138" s="156">
        <v>0</v>
      </c>
      <c r="Q138" s="156">
        <v>0</v>
      </c>
      <c r="R138" s="156">
        <v>0</v>
      </c>
      <c r="S138" s="156">
        <v>0</v>
      </c>
      <c r="T138" s="156">
        <v>0</v>
      </c>
      <c r="U138" s="156">
        <v>0</v>
      </c>
      <c r="V138" s="156">
        <v>37104</v>
      </c>
      <c r="W138" s="156">
        <v>0</v>
      </c>
      <c r="X138" s="156">
        <v>0</v>
      </c>
      <c r="Y138" s="156">
        <v>0</v>
      </c>
      <c r="Z138" s="156">
        <v>0</v>
      </c>
      <c r="AA138" s="156">
        <v>0</v>
      </c>
      <c r="AB138" s="156">
        <v>0</v>
      </c>
      <c r="AC138" s="156">
        <v>0</v>
      </c>
      <c r="AD138" s="156">
        <v>0</v>
      </c>
      <c r="AE138" s="79">
        <v>0</v>
      </c>
      <c r="AF138" s="157">
        <v>0</v>
      </c>
      <c r="AG138" s="156">
        <v>0</v>
      </c>
      <c r="AH138" s="156">
        <v>0</v>
      </c>
      <c r="AI138" s="156">
        <v>737</v>
      </c>
      <c r="AJ138" s="156">
        <v>0</v>
      </c>
      <c r="AK138" s="156">
        <v>0</v>
      </c>
      <c r="AL138" s="156">
        <v>0</v>
      </c>
      <c r="AM138" s="157">
        <v>0</v>
      </c>
      <c r="AN138" s="156">
        <v>0</v>
      </c>
      <c r="AO138" s="156">
        <v>0</v>
      </c>
      <c r="AP138" s="157">
        <v>0</v>
      </c>
      <c r="AQ138" s="157">
        <v>0</v>
      </c>
      <c r="AR138" s="157">
        <v>0</v>
      </c>
      <c r="AS138" s="156">
        <v>0</v>
      </c>
      <c r="AT138" s="157">
        <v>0</v>
      </c>
      <c r="AU138" s="157">
        <v>0</v>
      </c>
      <c r="AV138" s="157">
        <v>0</v>
      </c>
      <c r="AW138" s="157">
        <v>0</v>
      </c>
      <c r="AX138" s="156">
        <v>0</v>
      </c>
      <c r="AY138" s="156">
        <v>0</v>
      </c>
      <c r="AZ138" s="156">
        <v>0</v>
      </c>
      <c r="BA138" s="156">
        <v>0</v>
      </c>
      <c r="BB138" s="157">
        <v>-468</v>
      </c>
      <c r="BC138" s="156">
        <v>0</v>
      </c>
      <c r="BE138" s="16">
        <f t="shared" si="55"/>
        <v>394951.707</v>
      </c>
      <c r="BF138" s="16"/>
      <c r="BG138" s="16">
        <f t="shared" si="56"/>
        <v>164285</v>
      </c>
      <c r="BH138" s="16">
        <f t="shared" si="57"/>
        <v>230666.707</v>
      </c>
      <c r="BI138" s="157"/>
    </row>
    <row r="139" spans="1:61" ht="11.25" customHeight="1" hidden="1" outlineLevel="1">
      <c r="A139" s="148" t="s">
        <v>333</v>
      </c>
      <c r="B139" s="159">
        <v>0</v>
      </c>
      <c r="C139" s="159">
        <v>0</v>
      </c>
      <c r="D139" s="156">
        <v>114436</v>
      </c>
      <c r="E139" s="156">
        <v>0</v>
      </c>
      <c r="F139" s="156">
        <v>6772</v>
      </c>
      <c r="G139" s="156">
        <v>7857</v>
      </c>
      <c r="H139" s="156">
        <v>495507</v>
      </c>
      <c r="I139" s="156">
        <v>383920</v>
      </c>
      <c r="J139" s="156">
        <v>221</v>
      </c>
      <c r="K139" s="156">
        <v>0</v>
      </c>
      <c r="L139" s="16">
        <v>0</v>
      </c>
      <c r="M139" s="156">
        <v>30771</v>
      </c>
      <c r="N139" s="156">
        <v>23697</v>
      </c>
      <c r="O139" s="156">
        <v>7738</v>
      </c>
      <c r="P139" s="156">
        <v>0</v>
      </c>
      <c r="Q139" s="156">
        <v>0</v>
      </c>
      <c r="R139" s="156">
        <v>1803</v>
      </c>
      <c r="S139" s="156">
        <v>0</v>
      </c>
      <c r="T139" s="156">
        <v>358.175</v>
      </c>
      <c r="U139" s="156">
        <v>2882.887</v>
      </c>
      <c r="V139" s="156">
        <v>0</v>
      </c>
      <c r="W139" s="156">
        <v>0</v>
      </c>
      <c r="X139" s="156">
        <v>5371</v>
      </c>
      <c r="Y139" s="156">
        <v>0</v>
      </c>
      <c r="Z139" s="156">
        <v>0</v>
      </c>
      <c r="AA139" s="156">
        <v>0</v>
      </c>
      <c r="AB139" s="156">
        <v>0</v>
      </c>
      <c r="AC139" s="156">
        <v>0</v>
      </c>
      <c r="AD139" s="157">
        <v>0</v>
      </c>
      <c r="AE139" s="79">
        <v>0</v>
      </c>
      <c r="AF139" s="157">
        <v>0</v>
      </c>
      <c r="AG139" s="156">
        <v>0</v>
      </c>
      <c r="AH139" s="156">
        <v>0</v>
      </c>
      <c r="AI139" s="156">
        <v>0</v>
      </c>
      <c r="AJ139" s="156">
        <v>0</v>
      </c>
      <c r="AK139" s="157">
        <v>0</v>
      </c>
      <c r="AL139" s="156">
        <v>0</v>
      </c>
      <c r="AM139" s="157">
        <v>0</v>
      </c>
      <c r="AN139" s="156">
        <v>393</v>
      </c>
      <c r="AO139" s="156">
        <v>16666</v>
      </c>
      <c r="AP139" s="157">
        <v>0</v>
      </c>
      <c r="AQ139" s="157">
        <v>0</v>
      </c>
      <c r="AR139" s="157">
        <v>0</v>
      </c>
      <c r="AS139" s="156">
        <v>0</v>
      </c>
      <c r="AT139" s="157">
        <v>0</v>
      </c>
      <c r="AU139" s="156">
        <v>639.569</v>
      </c>
      <c r="AV139" s="157">
        <v>0</v>
      </c>
      <c r="AW139" s="156">
        <v>0</v>
      </c>
      <c r="AX139" s="156">
        <v>12</v>
      </c>
      <c r="AY139" s="156">
        <v>0</v>
      </c>
      <c r="AZ139" s="156">
        <v>0</v>
      </c>
      <c r="BA139" s="156">
        <v>0</v>
      </c>
      <c r="BB139" s="157">
        <v>0</v>
      </c>
      <c r="BC139" s="156">
        <v>0</v>
      </c>
      <c r="BE139" s="16">
        <f t="shared" si="55"/>
        <v>1099044.631</v>
      </c>
      <c r="BF139" s="16"/>
      <c r="BG139" s="16">
        <f t="shared" si="56"/>
        <v>16666</v>
      </c>
      <c r="BH139" s="16">
        <f t="shared" si="57"/>
        <v>1082378.631</v>
      </c>
      <c r="BI139" s="157"/>
    </row>
    <row r="140" spans="1:61" ht="11.25" customHeight="1" collapsed="1">
      <c r="A140" s="169" t="s">
        <v>334</v>
      </c>
      <c r="B140" s="156">
        <f aca="true" t="shared" si="58" ref="B140:AO140">SUM(B135:B139)</f>
        <v>11583769</v>
      </c>
      <c r="C140" s="156">
        <f t="shared" si="58"/>
        <v>403111</v>
      </c>
      <c r="D140" s="156">
        <f t="shared" si="58"/>
        <v>3028131</v>
      </c>
      <c r="E140" s="156">
        <f t="shared" si="58"/>
        <v>2668890.7479999997</v>
      </c>
      <c r="F140" s="156">
        <f t="shared" si="58"/>
        <v>1516447</v>
      </c>
      <c r="G140" s="156">
        <f t="shared" si="58"/>
        <v>1863907</v>
      </c>
      <c r="H140" s="156">
        <f t="shared" si="58"/>
        <v>503374</v>
      </c>
      <c r="I140" s="156">
        <f t="shared" si="58"/>
        <v>1589353</v>
      </c>
      <c r="J140" s="156">
        <f>SUM(J135:J139)</f>
        <v>45695</v>
      </c>
      <c r="K140" s="156">
        <f t="shared" si="58"/>
        <v>438366</v>
      </c>
      <c r="L140" s="156">
        <f t="shared" si="58"/>
        <v>58152</v>
      </c>
      <c r="M140" s="156">
        <f t="shared" si="58"/>
        <v>408428</v>
      </c>
      <c r="N140" s="156">
        <f t="shared" si="58"/>
        <v>768016</v>
      </c>
      <c r="O140" s="156">
        <f t="shared" si="58"/>
        <v>42278</v>
      </c>
      <c r="P140" s="156">
        <f t="shared" si="58"/>
        <v>900494</v>
      </c>
      <c r="Q140" s="156">
        <f t="shared" si="58"/>
        <v>25203</v>
      </c>
      <c r="R140" s="156">
        <f>SUM(R135:R139)</f>
        <v>408860</v>
      </c>
      <c r="S140" s="156">
        <f t="shared" si="58"/>
        <v>504231</v>
      </c>
      <c r="T140" s="156">
        <f t="shared" si="58"/>
        <v>475975.49</v>
      </c>
      <c r="U140" s="156">
        <f t="shared" si="58"/>
        <v>234928.952</v>
      </c>
      <c r="V140" s="156">
        <f>SUM(V135:V139)</f>
        <v>848973</v>
      </c>
      <c r="W140" s="156">
        <f t="shared" si="58"/>
        <v>613052</v>
      </c>
      <c r="X140" s="156">
        <f t="shared" si="58"/>
        <v>380750</v>
      </c>
      <c r="Y140" s="156">
        <f t="shared" si="58"/>
        <v>716378.898</v>
      </c>
      <c r="Z140" s="156">
        <f>SUM(Z135:Z139)</f>
        <v>126443.84199999999</v>
      </c>
      <c r="AA140" s="156">
        <f>SUM(AA135:AA139)</f>
        <v>9587.149000000001</v>
      </c>
      <c r="AB140" s="156">
        <f>SUM(AB135:AB139)</f>
        <v>352644</v>
      </c>
      <c r="AC140" s="156">
        <f t="shared" si="58"/>
        <v>1380198.9400000002</v>
      </c>
      <c r="AD140" s="156">
        <f>SUM(AD135:AD139)</f>
        <v>9939.087</v>
      </c>
      <c r="AE140" s="156">
        <f t="shared" si="58"/>
        <v>339210</v>
      </c>
      <c r="AF140" s="156">
        <f t="shared" si="58"/>
        <v>288610.272</v>
      </c>
      <c r="AG140" s="156">
        <f t="shared" si="58"/>
        <v>254164</v>
      </c>
      <c r="AH140" s="156">
        <f t="shared" si="58"/>
        <v>115512</v>
      </c>
      <c r="AI140" s="156">
        <f t="shared" si="58"/>
        <v>132869</v>
      </c>
      <c r="AJ140" s="156">
        <f t="shared" si="58"/>
        <v>30230</v>
      </c>
      <c r="AK140" s="156">
        <f t="shared" si="58"/>
        <v>81276</v>
      </c>
      <c r="AL140" s="156">
        <f t="shared" si="58"/>
        <v>65911</v>
      </c>
      <c r="AM140" s="157">
        <f t="shared" si="58"/>
        <v>106359</v>
      </c>
      <c r="AN140" s="156">
        <f>SUM(AN135:AN139)</f>
        <v>1967</v>
      </c>
      <c r="AO140" s="156">
        <f t="shared" si="58"/>
        <v>145908</v>
      </c>
      <c r="AP140" s="156">
        <f aca="true" t="shared" si="59" ref="AP140:BC140">SUM(AP135:AP139)</f>
        <v>70672.521</v>
      </c>
      <c r="AQ140" s="156">
        <f t="shared" si="59"/>
        <v>78319</v>
      </c>
      <c r="AR140" s="156">
        <f t="shared" si="59"/>
        <v>186605</v>
      </c>
      <c r="AS140" s="156">
        <f t="shared" si="59"/>
        <v>72189</v>
      </c>
      <c r="AT140" s="156">
        <f t="shared" si="59"/>
        <v>41522</v>
      </c>
      <c r="AU140" s="156">
        <f t="shared" si="59"/>
        <v>40495.853</v>
      </c>
      <c r="AV140" s="156">
        <f t="shared" si="59"/>
        <v>39546</v>
      </c>
      <c r="AW140" s="156">
        <f t="shared" si="59"/>
        <v>40246</v>
      </c>
      <c r="AX140" s="156">
        <f t="shared" si="59"/>
        <v>39334</v>
      </c>
      <c r="AY140" s="156">
        <f t="shared" si="59"/>
        <v>41753.981</v>
      </c>
      <c r="AZ140" s="156">
        <f t="shared" si="59"/>
        <v>35145</v>
      </c>
      <c r="BA140" s="156">
        <f t="shared" si="59"/>
        <v>146218</v>
      </c>
      <c r="BB140" s="156">
        <f>SUM(BB135:BB139)</f>
        <v>329</v>
      </c>
      <c r="BC140" s="156">
        <f t="shared" si="59"/>
        <v>60040</v>
      </c>
      <c r="BE140" s="16">
        <f t="shared" si="55"/>
        <v>34360008.733</v>
      </c>
      <c r="BF140" s="16"/>
      <c r="BG140" s="16">
        <f t="shared" si="56"/>
        <v>14756760.442</v>
      </c>
      <c r="BH140" s="16">
        <f t="shared" si="57"/>
        <v>19603248.291</v>
      </c>
      <c r="BI140" s="157"/>
    </row>
    <row r="141" spans="1:61" ht="11.25" customHeight="1">
      <c r="A141" s="1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G141" s="156"/>
      <c r="AH141" s="156"/>
      <c r="AI141" s="156"/>
      <c r="AJ141" s="156"/>
      <c r="AK141" s="156"/>
      <c r="AL141" s="156"/>
      <c r="AM141" s="157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E141" s="16"/>
      <c r="BF141" s="16"/>
      <c r="BG141" s="16"/>
      <c r="BH141" s="16"/>
      <c r="BI141" s="157"/>
    </row>
    <row r="142" spans="1:61" ht="11.25" customHeight="1">
      <c r="A142" s="169" t="s">
        <v>335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G142" s="156"/>
      <c r="AH142" s="156"/>
      <c r="AI142" s="156"/>
      <c r="AJ142" s="156"/>
      <c r="AK142" s="156"/>
      <c r="AL142" s="156"/>
      <c r="AM142" s="157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E142" s="16"/>
      <c r="BF142" s="16"/>
      <c r="BG142" s="16"/>
      <c r="BH142" s="16"/>
      <c r="BI142" s="157"/>
    </row>
    <row r="143" spans="1:61" ht="11.25" customHeight="1">
      <c r="A143" s="169" t="s">
        <v>336</v>
      </c>
      <c r="B143" s="156">
        <f aca="true" t="shared" si="60" ref="B143:AO143">+B132-B140</f>
        <v>76589629</v>
      </c>
      <c r="C143" s="156">
        <f t="shared" si="60"/>
        <v>38560732</v>
      </c>
      <c r="D143" s="156">
        <f t="shared" si="60"/>
        <v>41179110</v>
      </c>
      <c r="E143" s="156">
        <f t="shared" si="60"/>
        <v>34642375.643999994</v>
      </c>
      <c r="F143" s="156">
        <f t="shared" si="60"/>
        <v>19752762</v>
      </c>
      <c r="G143" s="156">
        <f t="shared" si="60"/>
        <v>29378293</v>
      </c>
      <c r="H143" s="156">
        <f t="shared" si="60"/>
        <v>0</v>
      </c>
      <c r="I143" s="156">
        <f t="shared" si="60"/>
        <v>25207220</v>
      </c>
      <c r="J143" s="156">
        <f>+J132-J140</f>
        <v>3025954</v>
      </c>
      <c r="K143" s="156">
        <f t="shared" si="60"/>
        <v>4642016</v>
      </c>
      <c r="L143" s="156">
        <f t="shared" si="60"/>
        <v>3245490.6</v>
      </c>
      <c r="M143" s="156">
        <f t="shared" si="60"/>
        <v>7332052</v>
      </c>
      <c r="N143" s="156">
        <f t="shared" si="60"/>
        <v>13787755</v>
      </c>
      <c r="O143" s="156">
        <f t="shared" si="60"/>
        <v>4516308</v>
      </c>
      <c r="P143" s="156">
        <f t="shared" si="60"/>
        <v>9443907</v>
      </c>
      <c r="Q143" s="156">
        <f t="shared" si="60"/>
        <v>1365917</v>
      </c>
      <c r="R143" s="156">
        <f>+R132-R140</f>
        <v>4562128</v>
      </c>
      <c r="S143" s="156">
        <f t="shared" si="60"/>
        <v>7420622</v>
      </c>
      <c r="T143" s="156">
        <f t="shared" si="60"/>
        <v>8323677.107999999</v>
      </c>
      <c r="U143" s="156">
        <f t="shared" si="60"/>
        <v>2781149.798</v>
      </c>
      <c r="V143" s="156">
        <f>+V132-V140</f>
        <v>10549363</v>
      </c>
      <c r="W143" s="156">
        <f t="shared" si="60"/>
        <v>14618591</v>
      </c>
      <c r="X143" s="156">
        <f t="shared" si="60"/>
        <v>6330157</v>
      </c>
      <c r="Y143" s="156">
        <f t="shared" si="60"/>
        <v>6489687.042</v>
      </c>
      <c r="Z143" s="156">
        <f>+Z132-Z140</f>
        <v>5320265.757</v>
      </c>
      <c r="AA143" s="156">
        <f>+AA132-AA140</f>
        <v>403389.97699999996</v>
      </c>
      <c r="AB143" s="156">
        <f>+AB132-AB140</f>
        <v>4599418</v>
      </c>
      <c r="AC143" s="156">
        <f t="shared" si="60"/>
        <v>4369427.9229999995</v>
      </c>
      <c r="AD143" s="156">
        <f>+AD132-AD140</f>
        <v>650348.3629999999</v>
      </c>
      <c r="AE143" s="156">
        <f t="shared" si="60"/>
        <v>5288680</v>
      </c>
      <c r="AF143" s="156">
        <f t="shared" si="60"/>
        <v>1943478.131</v>
      </c>
      <c r="AG143" s="156">
        <f t="shared" si="60"/>
        <v>4248668</v>
      </c>
      <c r="AH143" s="156">
        <f t="shared" si="60"/>
        <v>895106.1</v>
      </c>
      <c r="AI143" s="156">
        <f t="shared" si="60"/>
        <v>2269492</v>
      </c>
      <c r="AJ143" s="156">
        <f t="shared" si="60"/>
        <v>101559</v>
      </c>
      <c r="AK143" s="156">
        <f t="shared" si="60"/>
        <v>541709</v>
      </c>
      <c r="AL143" s="156">
        <f t="shared" si="60"/>
        <v>1251729</v>
      </c>
      <c r="AM143" s="157">
        <f t="shared" si="60"/>
        <v>2025958</v>
      </c>
      <c r="AN143" s="156">
        <f>+AN132-AN140</f>
        <v>158591</v>
      </c>
      <c r="AO143" s="156">
        <f t="shared" si="60"/>
        <v>594229</v>
      </c>
      <c r="AP143" s="156">
        <f aca="true" t="shared" si="61" ref="AP143:BC143">+AP132-AP140</f>
        <v>260805.25199999998</v>
      </c>
      <c r="AQ143" s="156">
        <f t="shared" si="61"/>
        <v>912904</v>
      </c>
      <c r="AR143" s="156">
        <f t="shared" si="61"/>
        <v>359933</v>
      </c>
      <c r="AS143" s="156">
        <f t="shared" si="61"/>
        <v>623552</v>
      </c>
      <c r="AT143" s="156">
        <f t="shared" si="61"/>
        <v>500167</v>
      </c>
      <c r="AU143" s="156">
        <f t="shared" si="61"/>
        <v>87172.48599999999</v>
      </c>
      <c r="AV143" s="156">
        <f t="shared" si="61"/>
        <v>155756</v>
      </c>
      <c r="AW143" s="156">
        <f t="shared" si="61"/>
        <v>305061</v>
      </c>
      <c r="AX143" s="156">
        <f t="shared" si="61"/>
        <v>38541.901</v>
      </c>
      <c r="AY143" s="156">
        <f t="shared" si="61"/>
        <v>15065.72299999999</v>
      </c>
      <c r="AZ143" s="156">
        <f t="shared" si="61"/>
        <v>60245</v>
      </c>
      <c r="BA143" s="156">
        <f t="shared" si="61"/>
        <v>3850</v>
      </c>
      <c r="BB143" s="156">
        <f>+BB132-BB140</f>
        <v>-323</v>
      </c>
      <c r="BC143" s="156">
        <f t="shared" si="61"/>
        <v>888</v>
      </c>
      <c r="BE143" s="16">
        <f>SUM(B143:BC143)</f>
        <v>411730563.80499995</v>
      </c>
      <c r="BF143" s="16"/>
      <c r="BG143" s="16">
        <f>+B143+AC143+AH143+AJ143+AO143+AP143+AR143+AS143+AV143+AY143+AZ143+BA143+BC143+V143</f>
        <v>94579408.998</v>
      </c>
      <c r="BH143" s="16">
        <f>+C143+D143+E143+F143+G143+H143+I143+J143+K143+L143+M143+N143+O143+P143+Q143+R143+S143+T143+U143+W143+X143+Y143+Z143+AA143+AB143+AD143+AE143+AF143+AG143+AI143+AK143+AL143+AM143+AN143+AQ143+AT143+AU143+AW143+AX143+BB143</f>
        <v>317151154.807</v>
      </c>
      <c r="BI143" s="157"/>
    </row>
    <row r="144" spans="1:61" ht="11.25" customHeight="1">
      <c r="A144" s="169"/>
      <c r="B144" s="156"/>
      <c r="C144" s="156"/>
      <c r="D144" s="159"/>
      <c r="E144" s="159"/>
      <c r="F144" s="159"/>
      <c r="G144" s="159"/>
      <c r="H144" s="159"/>
      <c r="I144" s="159"/>
      <c r="J144" s="159"/>
      <c r="K144" s="159"/>
      <c r="L144" s="158"/>
      <c r="M144" s="159"/>
      <c r="N144" s="159"/>
      <c r="O144" s="159"/>
      <c r="P144" s="159"/>
      <c r="Q144" s="159"/>
      <c r="R144" s="158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E144" s="159"/>
      <c r="AG144" s="159"/>
      <c r="AH144" s="158"/>
      <c r="AI144" s="159"/>
      <c r="AJ144" s="159"/>
      <c r="AL144" s="159"/>
      <c r="AM144" s="168"/>
      <c r="AN144" s="159"/>
      <c r="AO144" s="159"/>
      <c r="AQ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E144" s="16"/>
      <c r="BF144" s="16"/>
      <c r="BG144" s="16"/>
      <c r="BH144" s="16"/>
      <c r="BI144" s="157"/>
    </row>
    <row r="145" spans="1:61" ht="11.25" customHeight="1" hidden="1" outlineLevel="1">
      <c r="A145" s="169" t="s">
        <v>337</v>
      </c>
      <c r="B145" s="156"/>
      <c r="C145" s="156"/>
      <c r="D145" s="159"/>
      <c r="E145" s="159"/>
      <c r="F145" s="159"/>
      <c r="G145" s="159"/>
      <c r="H145" s="159"/>
      <c r="I145" s="159"/>
      <c r="J145" s="159"/>
      <c r="K145" s="159"/>
      <c r="L145" s="158"/>
      <c r="M145" s="159"/>
      <c r="N145" s="159"/>
      <c r="O145" s="159"/>
      <c r="P145" s="159"/>
      <c r="Q145" s="159"/>
      <c r="R145" s="158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E145" s="159"/>
      <c r="AG145" s="159"/>
      <c r="AH145" s="158"/>
      <c r="AI145" s="159"/>
      <c r="AJ145" s="159"/>
      <c r="AL145" s="159"/>
      <c r="AM145" s="168"/>
      <c r="AN145" s="159"/>
      <c r="AO145" s="159"/>
      <c r="AQ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E145" s="16"/>
      <c r="BF145" s="16"/>
      <c r="BG145" s="16"/>
      <c r="BH145" s="16"/>
      <c r="BI145" s="157"/>
    </row>
    <row r="146" spans="1:61" ht="11.25" customHeight="1" hidden="1" outlineLevel="1">
      <c r="A146" s="148" t="s">
        <v>338</v>
      </c>
      <c r="B146" s="156">
        <v>47537050</v>
      </c>
      <c r="C146" s="156">
        <v>20392097</v>
      </c>
      <c r="D146" s="156">
        <v>17332840</v>
      </c>
      <c r="E146" s="156">
        <v>14637555.74</v>
      </c>
      <c r="F146" s="156">
        <v>14442310</v>
      </c>
      <c r="G146" s="156">
        <v>14930832</v>
      </c>
      <c r="H146" s="156">
        <v>0</v>
      </c>
      <c r="I146" s="156">
        <v>8380573.204</v>
      </c>
      <c r="J146" s="156">
        <v>1872077</v>
      </c>
      <c r="K146" s="156">
        <v>2099348</v>
      </c>
      <c r="L146" s="16">
        <v>2867078</v>
      </c>
      <c r="M146" s="156">
        <v>2974360</v>
      </c>
      <c r="N146" s="156">
        <v>7413442</v>
      </c>
      <c r="O146" s="156">
        <v>2404106</v>
      </c>
      <c r="P146" s="156">
        <v>3755734</v>
      </c>
      <c r="Q146" s="156">
        <v>550958</v>
      </c>
      <c r="R146" s="156">
        <v>2650195</v>
      </c>
      <c r="S146" s="156">
        <v>3059352</v>
      </c>
      <c r="T146" s="156">
        <v>3212461.694</v>
      </c>
      <c r="U146" s="156">
        <v>421961.766</v>
      </c>
      <c r="V146" s="156">
        <v>6784457.4</v>
      </c>
      <c r="W146" s="156">
        <v>8666229</v>
      </c>
      <c r="X146" s="156">
        <v>2574120</v>
      </c>
      <c r="Y146" s="156">
        <v>5287546.61</v>
      </c>
      <c r="Z146" s="156">
        <v>2457580.346</v>
      </c>
      <c r="AA146" s="156">
        <v>186337.173</v>
      </c>
      <c r="AB146" s="156">
        <v>843057</v>
      </c>
      <c r="AC146" s="156">
        <v>590867.119</v>
      </c>
      <c r="AD146" s="157">
        <v>630231.434</v>
      </c>
      <c r="AE146" s="79">
        <v>4172373</v>
      </c>
      <c r="AF146" s="157">
        <v>437678.64</v>
      </c>
      <c r="AG146" s="156">
        <v>2331108</v>
      </c>
      <c r="AH146" s="156">
        <v>631681</v>
      </c>
      <c r="AI146" s="156">
        <v>1510539</v>
      </c>
      <c r="AJ146" s="156">
        <v>10499</v>
      </c>
      <c r="AK146" s="157">
        <v>1071142</v>
      </c>
      <c r="AL146" s="156">
        <v>579085</v>
      </c>
      <c r="AM146" s="157">
        <v>1800460</v>
      </c>
      <c r="AN146" s="156">
        <v>158207</v>
      </c>
      <c r="AO146" s="156">
        <v>352378</v>
      </c>
      <c r="AP146" s="157">
        <v>125119.125</v>
      </c>
      <c r="AQ146" s="156">
        <v>889216</v>
      </c>
      <c r="AR146" s="157">
        <v>152151</v>
      </c>
      <c r="AS146" s="156">
        <v>622476</v>
      </c>
      <c r="AT146" s="156">
        <v>482319</v>
      </c>
      <c r="AU146" s="156">
        <v>405.036</v>
      </c>
      <c r="AV146" s="156">
        <v>128324</v>
      </c>
      <c r="AW146" s="156">
        <v>307155</v>
      </c>
      <c r="AX146" s="156">
        <v>0</v>
      </c>
      <c r="AY146" s="156">
        <f>67193349/1000</f>
        <v>67193.349</v>
      </c>
      <c r="AZ146" s="156">
        <v>24100</v>
      </c>
      <c r="BA146" s="156">
        <v>0</v>
      </c>
      <c r="BB146" s="156">
        <v>0</v>
      </c>
      <c r="BC146" s="156">
        <v>0</v>
      </c>
      <c r="BE146" s="16">
        <f aca="true" t="shared" si="62" ref="BE146:BE153">SUM(B146:BC146)</f>
        <v>214808366.636</v>
      </c>
      <c r="BF146" s="16"/>
      <c r="BG146" s="16">
        <f aca="true" t="shared" si="63" ref="BG146:BG153">+B146+AC146+AH146+AJ146+AO146+AP146+AR146+AS146+AV146+AY146+AZ146+BA146+BC146+V146</f>
        <v>57026295.993</v>
      </c>
      <c r="BH146" s="16">
        <f aca="true" t="shared" si="64" ref="BH146:BH153">+C146+D146+E146+F146+G146+H146+I146+J146+K146+L146+M146+N146+O146+P146+Q146+R146+S146+T146+U146+W146+X146+Y146+Z146+AA146+AB146+AD146+AE146+AF146+AG146+AI146+AK146+AL146+AM146+AN146+AQ146+AT146+AU146+AW146+AX146+BB146</f>
        <v>157782070.643</v>
      </c>
      <c r="BI146" s="157"/>
    </row>
    <row r="147" spans="1:61" ht="11.25" customHeight="1" hidden="1" outlineLevel="1">
      <c r="A147" s="148" t="s">
        <v>339</v>
      </c>
      <c r="B147" s="156">
        <v>24728755</v>
      </c>
      <c r="C147" s="156">
        <v>16973077</v>
      </c>
      <c r="D147" s="156">
        <v>16277171</v>
      </c>
      <c r="E147" s="156">
        <v>18885786.888</v>
      </c>
      <c r="F147" s="156">
        <v>4742820</v>
      </c>
      <c r="G147" s="156">
        <v>12553487</v>
      </c>
      <c r="H147" s="156">
        <v>0</v>
      </c>
      <c r="I147" s="156">
        <v>16394842.424</v>
      </c>
      <c r="J147" s="156">
        <v>1245901</v>
      </c>
      <c r="K147" s="156">
        <v>2227140</v>
      </c>
      <c r="L147" s="16">
        <v>374370</v>
      </c>
      <c r="M147" s="156">
        <v>3087594</v>
      </c>
      <c r="N147" s="156">
        <v>6173935</v>
      </c>
      <c r="O147" s="156">
        <v>1818905</v>
      </c>
      <c r="P147" s="156">
        <v>5237745</v>
      </c>
      <c r="Q147" s="156">
        <v>768007</v>
      </c>
      <c r="R147" s="156">
        <v>1623065</v>
      </c>
      <c r="S147" s="156">
        <v>4037163</v>
      </c>
      <c r="T147" s="156">
        <v>4900920.559</v>
      </c>
      <c r="U147" s="156">
        <v>2035851.6940000001</v>
      </c>
      <c r="V147" s="156">
        <v>3250310.4</v>
      </c>
      <c r="W147" s="156">
        <v>5693751</v>
      </c>
      <c r="X147" s="156">
        <v>3736902</v>
      </c>
      <c r="Y147" s="156">
        <v>1045949.479</v>
      </c>
      <c r="Z147" s="156">
        <v>2357344.022</v>
      </c>
      <c r="AA147" s="156">
        <v>179408.521</v>
      </c>
      <c r="AB147" s="156">
        <v>3746857</v>
      </c>
      <c r="AC147" s="156">
        <v>3684101.048</v>
      </c>
      <c r="AD147" s="157">
        <v>22204.212</v>
      </c>
      <c r="AE147" s="79">
        <v>918255</v>
      </c>
      <c r="AF147" s="157">
        <v>1268700.811</v>
      </c>
      <c r="AG147" s="156">
        <v>1919764</v>
      </c>
      <c r="AH147" s="156">
        <v>267542</v>
      </c>
      <c r="AI147" s="156">
        <v>738612</v>
      </c>
      <c r="AJ147" s="156">
        <v>91522</v>
      </c>
      <c r="AK147" s="157">
        <v>183584</v>
      </c>
      <c r="AL147" s="156">
        <v>599619</v>
      </c>
      <c r="AM147" s="157">
        <v>226023</v>
      </c>
      <c r="AN147" s="156">
        <v>0</v>
      </c>
      <c r="AO147" s="156">
        <v>15076</v>
      </c>
      <c r="AP147" s="157">
        <v>104269.793</v>
      </c>
      <c r="AQ147" s="156">
        <v>25000</v>
      </c>
      <c r="AR147" s="157">
        <v>218747</v>
      </c>
      <c r="AS147" s="156">
        <v>1490</v>
      </c>
      <c r="AT147" s="156">
        <v>19448</v>
      </c>
      <c r="AU147" s="156">
        <v>0</v>
      </c>
      <c r="AV147" s="156">
        <v>25577</v>
      </c>
      <c r="AW147" s="156">
        <v>0</v>
      </c>
      <c r="AX147" s="156">
        <v>32574</v>
      </c>
      <c r="AY147" s="156">
        <f>-37678152/1000</f>
        <v>-37678.152</v>
      </c>
      <c r="AZ147" s="156">
        <v>15598</v>
      </c>
      <c r="BA147" s="156">
        <v>0</v>
      </c>
      <c r="BB147" s="156">
        <v>0</v>
      </c>
      <c r="BC147" s="156">
        <v>0</v>
      </c>
      <c r="BE147" s="16">
        <f t="shared" si="62"/>
        <v>174437087.69900003</v>
      </c>
      <c r="BF147" s="16"/>
      <c r="BG147" s="16">
        <f t="shared" si="63"/>
        <v>32365310.089</v>
      </c>
      <c r="BH147" s="16">
        <f t="shared" si="64"/>
        <v>142071777.61</v>
      </c>
      <c r="BI147" s="157"/>
    </row>
    <row r="148" spans="1:61" ht="11.25" customHeight="1" hidden="1" outlineLevel="1">
      <c r="A148" s="148" t="s">
        <v>340</v>
      </c>
      <c r="B148" s="156">
        <v>2802567</v>
      </c>
      <c r="C148" s="156">
        <v>1558547</v>
      </c>
      <c r="D148" s="156">
        <v>6125602</v>
      </c>
      <c r="E148" s="156">
        <v>860466.377</v>
      </c>
      <c r="F148" s="156">
        <v>382070</v>
      </c>
      <c r="G148" s="156">
        <v>2003952</v>
      </c>
      <c r="H148" s="156">
        <v>0</v>
      </c>
      <c r="I148" s="156">
        <v>210000</v>
      </c>
      <c r="J148" s="156">
        <v>0</v>
      </c>
      <c r="K148" s="156">
        <v>201829</v>
      </c>
      <c r="L148" s="16">
        <v>0</v>
      </c>
      <c r="M148" s="156">
        <v>1074578</v>
      </c>
      <c r="N148" s="156">
        <v>99757</v>
      </c>
      <c r="O148" s="156">
        <v>171291</v>
      </c>
      <c r="P148" s="156">
        <v>173321</v>
      </c>
      <c r="Q148" s="156">
        <v>18066</v>
      </c>
      <c r="R148" s="156">
        <v>276381</v>
      </c>
      <c r="S148" s="156">
        <v>188850</v>
      </c>
      <c r="T148" s="156">
        <v>147807.111</v>
      </c>
      <c r="U148" s="156">
        <v>316442.057</v>
      </c>
      <c r="V148" s="156">
        <v>294930</v>
      </c>
      <c r="W148" s="156">
        <v>173382</v>
      </c>
      <c r="X148" s="156">
        <v>0</v>
      </c>
      <c r="Y148" s="156">
        <v>50282</v>
      </c>
      <c r="Z148" s="156">
        <v>404145.416</v>
      </c>
      <c r="AA148" s="156">
        <v>30642.87</v>
      </c>
      <c r="AB148" s="156">
        <v>0</v>
      </c>
      <c r="AC148" s="156">
        <v>79545.493</v>
      </c>
      <c r="AD148" s="157">
        <v>0</v>
      </c>
      <c r="AE148" s="79">
        <v>170217</v>
      </c>
      <c r="AF148" s="157">
        <v>23700</v>
      </c>
      <c r="AG148" s="156">
        <v>33168</v>
      </c>
      <c r="AH148" s="156">
        <v>0</v>
      </c>
      <c r="AI148" s="156">
        <v>0</v>
      </c>
      <c r="AJ148" s="156">
        <v>0</v>
      </c>
      <c r="AK148" s="156">
        <v>0</v>
      </c>
      <c r="AL148" s="156">
        <v>7926</v>
      </c>
      <c r="AM148" s="157">
        <v>0</v>
      </c>
      <c r="AN148" s="156">
        <v>0</v>
      </c>
      <c r="AO148" s="156">
        <v>235172</v>
      </c>
      <c r="AP148" s="157">
        <v>30250</v>
      </c>
      <c r="AQ148" s="156">
        <v>0</v>
      </c>
      <c r="AR148" s="157">
        <v>5600</v>
      </c>
      <c r="AS148" s="156">
        <v>0</v>
      </c>
      <c r="AT148" s="156">
        <v>0</v>
      </c>
      <c r="AU148" s="156">
        <v>0</v>
      </c>
      <c r="AV148" s="156">
        <v>7135</v>
      </c>
      <c r="AW148" s="156">
        <v>0</v>
      </c>
      <c r="AX148" s="156">
        <v>0</v>
      </c>
      <c r="AY148" s="156">
        <v>0</v>
      </c>
      <c r="AZ148" s="156">
        <v>0</v>
      </c>
      <c r="BA148" s="156">
        <v>0</v>
      </c>
      <c r="BB148" s="156">
        <v>0</v>
      </c>
      <c r="BC148" s="156">
        <v>0</v>
      </c>
      <c r="BE148" s="16">
        <f t="shared" si="62"/>
        <v>18157622.324000005</v>
      </c>
      <c r="BF148" s="16"/>
      <c r="BG148" s="16">
        <f t="shared" si="63"/>
        <v>3455199.493</v>
      </c>
      <c r="BH148" s="16">
        <f t="shared" si="64"/>
        <v>14702422.830999998</v>
      </c>
      <c r="BI148" s="157"/>
    </row>
    <row r="149" spans="1:61" ht="11.25" customHeight="1" hidden="1" outlineLevel="1">
      <c r="A149" s="148" t="s">
        <v>341</v>
      </c>
      <c r="B149" s="159">
        <v>0</v>
      </c>
      <c r="C149" s="159">
        <v>0</v>
      </c>
      <c r="D149" s="156">
        <v>0</v>
      </c>
      <c r="E149" s="156">
        <v>0</v>
      </c>
      <c r="F149" s="156">
        <v>0</v>
      </c>
      <c r="G149" s="156">
        <v>0</v>
      </c>
      <c r="H149" s="156">
        <v>0</v>
      </c>
      <c r="I149" s="156">
        <v>0</v>
      </c>
      <c r="J149" s="156">
        <v>0</v>
      </c>
      <c r="K149" s="156">
        <v>0</v>
      </c>
      <c r="L149" s="16">
        <v>0</v>
      </c>
      <c r="M149" s="156">
        <v>0</v>
      </c>
      <c r="N149" s="156">
        <v>0</v>
      </c>
      <c r="O149" s="156">
        <v>0</v>
      </c>
      <c r="P149" s="156">
        <v>13696</v>
      </c>
      <c r="Q149" s="156">
        <v>1428</v>
      </c>
      <c r="R149" s="156">
        <v>0</v>
      </c>
      <c r="S149" s="156">
        <v>0</v>
      </c>
      <c r="T149" s="156">
        <v>0</v>
      </c>
      <c r="U149" s="156">
        <v>-1785.433</v>
      </c>
      <c r="V149" s="156">
        <v>0</v>
      </c>
      <c r="W149" s="156">
        <v>0</v>
      </c>
      <c r="X149" s="156">
        <v>0</v>
      </c>
      <c r="Y149" s="156">
        <v>0</v>
      </c>
      <c r="Z149" s="156">
        <v>76513.958</v>
      </c>
      <c r="AA149" s="156">
        <v>5801.395</v>
      </c>
      <c r="AB149" s="156">
        <v>18709</v>
      </c>
      <c r="AC149" s="156">
        <v>0</v>
      </c>
      <c r="AD149" s="157">
        <v>0</v>
      </c>
      <c r="AE149" s="79">
        <v>0</v>
      </c>
      <c r="AF149" s="157">
        <v>0</v>
      </c>
      <c r="AG149" s="156">
        <v>0</v>
      </c>
      <c r="AH149" s="156">
        <v>0</v>
      </c>
      <c r="AI149" s="156">
        <v>0</v>
      </c>
      <c r="AJ149" s="156">
        <v>0</v>
      </c>
      <c r="AK149" s="156">
        <v>0</v>
      </c>
      <c r="AL149" s="156">
        <v>0</v>
      </c>
      <c r="AM149" s="157">
        <v>0</v>
      </c>
      <c r="AN149" s="156">
        <v>0</v>
      </c>
      <c r="AO149" s="156">
        <v>0</v>
      </c>
      <c r="AP149" s="157">
        <v>0</v>
      </c>
      <c r="AQ149" s="157">
        <v>0</v>
      </c>
      <c r="AR149" s="157">
        <v>0</v>
      </c>
      <c r="AS149" s="156">
        <v>0</v>
      </c>
      <c r="AT149" s="156">
        <v>0</v>
      </c>
      <c r="AU149" s="156">
        <v>85417.244</v>
      </c>
      <c r="AV149" s="156">
        <v>0</v>
      </c>
      <c r="AW149" s="156">
        <v>0</v>
      </c>
      <c r="AX149" s="156">
        <v>0</v>
      </c>
      <c r="AY149" s="156">
        <f>-11249367/1000</f>
        <v>-11249.367</v>
      </c>
      <c r="AZ149" s="156">
        <v>0</v>
      </c>
      <c r="BA149" s="156">
        <v>0</v>
      </c>
      <c r="BB149" s="156">
        <v>0</v>
      </c>
      <c r="BC149" s="156">
        <v>0</v>
      </c>
      <c r="BE149" s="16">
        <f t="shared" si="62"/>
        <v>188530.797</v>
      </c>
      <c r="BF149" s="16"/>
      <c r="BG149" s="16">
        <f t="shared" si="63"/>
        <v>-11249.367</v>
      </c>
      <c r="BH149" s="16">
        <f t="shared" si="64"/>
        <v>199780.164</v>
      </c>
      <c r="BI149" s="157"/>
    </row>
    <row r="150" spans="1:61" ht="11.25" customHeight="1" hidden="1" outlineLevel="1">
      <c r="A150" s="148" t="s">
        <v>342</v>
      </c>
      <c r="B150" s="159">
        <v>0</v>
      </c>
      <c r="C150" s="159">
        <v>0</v>
      </c>
      <c r="D150" s="156">
        <v>14463</v>
      </c>
      <c r="E150" s="156">
        <v>1928.512</v>
      </c>
      <c r="F150" s="156">
        <v>14501</v>
      </c>
      <c r="G150" s="156">
        <v>0</v>
      </c>
      <c r="H150" s="156">
        <v>0</v>
      </c>
      <c r="I150" s="156">
        <v>0</v>
      </c>
      <c r="J150" s="156">
        <v>0</v>
      </c>
      <c r="K150" s="156">
        <v>3444</v>
      </c>
      <c r="L150" s="158">
        <v>0</v>
      </c>
      <c r="M150" s="156">
        <v>11538</v>
      </c>
      <c r="N150" s="156">
        <v>0</v>
      </c>
      <c r="O150" s="156">
        <v>0</v>
      </c>
      <c r="P150" s="156">
        <v>599</v>
      </c>
      <c r="Q150" s="156">
        <v>64</v>
      </c>
      <c r="R150" s="156">
        <v>0</v>
      </c>
      <c r="S150" s="156">
        <v>3940</v>
      </c>
      <c r="T150" s="156">
        <v>0</v>
      </c>
      <c r="U150" s="156">
        <v>1837.498</v>
      </c>
      <c r="V150" s="156">
        <v>823</v>
      </c>
      <c r="W150" s="156">
        <v>25519</v>
      </c>
      <c r="X150" s="156">
        <v>1250</v>
      </c>
      <c r="Y150" s="156">
        <v>2430.052</v>
      </c>
      <c r="Z150" s="156">
        <v>12674.159</v>
      </c>
      <c r="AA150" s="156">
        <v>960.972</v>
      </c>
      <c r="AB150" s="156">
        <v>900</v>
      </c>
      <c r="AC150" s="156">
        <v>0</v>
      </c>
      <c r="AD150" s="157">
        <v>0</v>
      </c>
      <c r="AE150" s="79">
        <v>0</v>
      </c>
      <c r="AF150" s="157">
        <v>0</v>
      </c>
      <c r="AG150" s="156">
        <v>378</v>
      </c>
      <c r="AH150" s="156">
        <v>0</v>
      </c>
      <c r="AI150" s="156">
        <v>0</v>
      </c>
      <c r="AJ150" s="156">
        <v>0</v>
      </c>
      <c r="AK150" s="156">
        <v>0</v>
      </c>
      <c r="AL150" s="156">
        <v>0</v>
      </c>
      <c r="AM150" s="157">
        <v>0</v>
      </c>
      <c r="AN150" s="156">
        <v>0</v>
      </c>
      <c r="AO150" s="156">
        <v>0</v>
      </c>
      <c r="AP150" s="157">
        <v>49817</v>
      </c>
      <c r="AQ150" s="157">
        <v>0</v>
      </c>
      <c r="AR150" s="157">
        <v>0</v>
      </c>
      <c r="AS150" s="156">
        <v>0</v>
      </c>
      <c r="AT150" s="156">
        <v>0</v>
      </c>
      <c r="AU150" s="156">
        <v>0</v>
      </c>
      <c r="AV150" s="156">
        <v>0</v>
      </c>
      <c r="AW150" s="156">
        <v>0</v>
      </c>
      <c r="AX150" s="156">
        <v>0</v>
      </c>
      <c r="AY150" s="156">
        <v>0</v>
      </c>
      <c r="AZ150" s="156">
        <v>0</v>
      </c>
      <c r="BA150" s="156">
        <v>0</v>
      </c>
      <c r="BB150" s="156">
        <v>0</v>
      </c>
      <c r="BC150" s="156">
        <v>0</v>
      </c>
      <c r="BE150" s="16">
        <f t="shared" si="62"/>
        <v>147067.193</v>
      </c>
      <c r="BF150" s="16"/>
      <c r="BG150" s="16">
        <f t="shared" si="63"/>
        <v>50640</v>
      </c>
      <c r="BH150" s="16">
        <f t="shared" si="64"/>
        <v>96427.193</v>
      </c>
      <c r="BI150" s="157"/>
    </row>
    <row r="151" spans="1:61" ht="11.25" customHeight="1" hidden="1" outlineLevel="1">
      <c r="A151" s="148" t="s">
        <v>343</v>
      </c>
      <c r="B151" s="156">
        <v>3705</v>
      </c>
      <c r="C151" s="156">
        <v>3704.9</v>
      </c>
      <c r="D151" s="156">
        <v>0</v>
      </c>
      <c r="E151" s="156">
        <v>5091.038</v>
      </c>
      <c r="F151" s="156">
        <v>823</v>
      </c>
      <c r="G151" s="156">
        <v>0</v>
      </c>
      <c r="H151" s="156">
        <v>0</v>
      </c>
      <c r="I151" s="156">
        <v>0</v>
      </c>
      <c r="J151" s="156">
        <v>0</v>
      </c>
      <c r="K151" s="156">
        <v>0</v>
      </c>
      <c r="L151" s="158">
        <v>0</v>
      </c>
      <c r="M151" s="156">
        <v>0</v>
      </c>
      <c r="N151" s="156">
        <v>0</v>
      </c>
      <c r="O151" s="156">
        <v>0</v>
      </c>
      <c r="P151" s="156">
        <v>0</v>
      </c>
      <c r="Q151" s="156">
        <v>0</v>
      </c>
      <c r="R151" s="156">
        <v>0</v>
      </c>
      <c r="S151" s="156">
        <v>7385</v>
      </c>
      <c r="T151" s="156">
        <v>0</v>
      </c>
      <c r="U151" s="156">
        <v>0</v>
      </c>
      <c r="V151" s="156">
        <v>0</v>
      </c>
      <c r="W151" s="156">
        <v>0</v>
      </c>
      <c r="X151" s="156">
        <v>0</v>
      </c>
      <c r="Y151" s="156">
        <v>0</v>
      </c>
      <c r="Z151" s="156">
        <v>0</v>
      </c>
      <c r="AA151" s="156">
        <v>0</v>
      </c>
      <c r="AB151" s="156">
        <v>0</v>
      </c>
      <c r="AC151" s="156">
        <v>0</v>
      </c>
      <c r="AD151" s="157">
        <v>0</v>
      </c>
      <c r="AE151" s="79">
        <v>0</v>
      </c>
      <c r="AF151" s="157">
        <v>0</v>
      </c>
      <c r="AG151" s="156">
        <v>0</v>
      </c>
      <c r="AH151" s="156">
        <v>0</v>
      </c>
      <c r="AI151" s="156">
        <v>0</v>
      </c>
      <c r="AJ151" s="156">
        <v>0</v>
      </c>
      <c r="AK151" s="156">
        <v>0</v>
      </c>
      <c r="AL151" s="156">
        <v>0</v>
      </c>
      <c r="AM151" s="157">
        <v>0</v>
      </c>
      <c r="AN151" s="156">
        <v>0</v>
      </c>
      <c r="AO151" s="156">
        <v>0</v>
      </c>
      <c r="AP151" s="157">
        <v>0</v>
      </c>
      <c r="AQ151" s="157">
        <v>0</v>
      </c>
      <c r="AR151" s="157">
        <v>0</v>
      </c>
      <c r="AS151" s="156">
        <v>0</v>
      </c>
      <c r="AT151" s="156">
        <v>0</v>
      </c>
      <c r="AU151" s="156">
        <v>0</v>
      </c>
      <c r="AV151" s="156">
        <v>0</v>
      </c>
      <c r="AW151" s="156">
        <v>0</v>
      </c>
      <c r="AX151" s="156">
        <v>0</v>
      </c>
      <c r="AY151" s="156">
        <v>0</v>
      </c>
      <c r="AZ151" s="156">
        <v>0</v>
      </c>
      <c r="BA151" s="156">
        <v>0</v>
      </c>
      <c r="BB151" s="156">
        <v>0</v>
      </c>
      <c r="BC151" s="156">
        <v>0</v>
      </c>
      <c r="BE151" s="16">
        <f t="shared" si="62"/>
        <v>20708.938</v>
      </c>
      <c r="BF151" s="16"/>
      <c r="BG151" s="16">
        <f t="shared" si="63"/>
        <v>3705</v>
      </c>
      <c r="BH151" s="16">
        <f t="shared" si="64"/>
        <v>17003.938000000002</v>
      </c>
      <c r="BI151" s="157"/>
    </row>
    <row r="152" spans="1:61" ht="11.25" customHeight="1" hidden="1" outlineLevel="1">
      <c r="A152" s="148" t="s">
        <v>344</v>
      </c>
      <c r="B152" s="159">
        <v>0</v>
      </c>
      <c r="C152" s="159">
        <v>0</v>
      </c>
      <c r="D152" s="156">
        <v>0</v>
      </c>
      <c r="E152" s="156">
        <v>0</v>
      </c>
      <c r="F152" s="156">
        <v>0</v>
      </c>
      <c r="G152" s="156">
        <v>0</v>
      </c>
      <c r="H152" s="156">
        <v>0</v>
      </c>
      <c r="I152" s="156">
        <v>0</v>
      </c>
      <c r="J152" s="156">
        <v>0</v>
      </c>
      <c r="K152" s="156">
        <v>0</v>
      </c>
      <c r="L152" s="158">
        <v>0</v>
      </c>
      <c r="M152" s="156">
        <v>0</v>
      </c>
      <c r="N152" s="156">
        <v>0</v>
      </c>
      <c r="O152" s="156">
        <v>0</v>
      </c>
      <c r="P152" s="156">
        <v>0</v>
      </c>
      <c r="Q152" s="156">
        <v>0</v>
      </c>
      <c r="R152" s="156">
        <v>0</v>
      </c>
      <c r="S152" s="156">
        <v>33000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0</v>
      </c>
      <c r="AA152" s="156">
        <v>0</v>
      </c>
      <c r="AB152" s="156">
        <v>0</v>
      </c>
      <c r="AC152" s="156">
        <v>0</v>
      </c>
      <c r="AD152" s="157">
        <v>0</v>
      </c>
      <c r="AE152" s="79">
        <v>0</v>
      </c>
      <c r="AF152" s="157">
        <v>0</v>
      </c>
      <c r="AG152" s="156">
        <v>0</v>
      </c>
      <c r="AH152" s="156">
        <v>0</v>
      </c>
      <c r="AI152" s="156">
        <v>0</v>
      </c>
      <c r="AJ152" s="156">
        <v>0</v>
      </c>
      <c r="AK152" s="156">
        <v>0</v>
      </c>
      <c r="AL152" s="156">
        <v>0</v>
      </c>
      <c r="AM152" s="157">
        <v>0</v>
      </c>
      <c r="AN152" s="156">
        <v>0</v>
      </c>
      <c r="AO152" s="156">
        <v>0</v>
      </c>
      <c r="AP152" s="157">
        <v>0</v>
      </c>
      <c r="AQ152" s="157">
        <v>0</v>
      </c>
      <c r="AR152" s="157">
        <v>0</v>
      </c>
      <c r="AS152" s="156">
        <v>0</v>
      </c>
      <c r="AT152" s="156">
        <v>0</v>
      </c>
      <c r="AU152" s="156">
        <v>0</v>
      </c>
      <c r="AV152" s="156">
        <v>0</v>
      </c>
      <c r="AW152" s="156">
        <v>0</v>
      </c>
      <c r="AX152" s="156">
        <v>0</v>
      </c>
      <c r="AY152" s="156">
        <v>0</v>
      </c>
      <c r="AZ152" s="156">
        <v>0</v>
      </c>
      <c r="BA152" s="156">
        <v>0</v>
      </c>
      <c r="BB152" s="156">
        <v>0</v>
      </c>
      <c r="BC152" s="156">
        <v>0</v>
      </c>
      <c r="BE152" s="16">
        <f t="shared" si="62"/>
        <v>33000</v>
      </c>
      <c r="BF152" s="16"/>
      <c r="BG152" s="16">
        <f t="shared" si="63"/>
        <v>0</v>
      </c>
      <c r="BH152" s="16">
        <f t="shared" si="64"/>
        <v>33000</v>
      </c>
      <c r="BI152" s="157"/>
    </row>
    <row r="153" spans="1:61" ht="11.25" customHeight="1" collapsed="1">
      <c r="A153" s="169" t="s">
        <v>345</v>
      </c>
      <c r="B153" s="156">
        <f aca="true" t="shared" si="65" ref="B153:AO153">SUM(B146:B152)</f>
        <v>75072077</v>
      </c>
      <c r="C153" s="156">
        <f t="shared" si="65"/>
        <v>38927425.9</v>
      </c>
      <c r="D153" s="156">
        <f t="shared" si="65"/>
        <v>39750076</v>
      </c>
      <c r="E153" s="156">
        <f t="shared" si="65"/>
        <v>34390828.555</v>
      </c>
      <c r="F153" s="156">
        <f t="shared" si="65"/>
        <v>19582524</v>
      </c>
      <c r="G153" s="156">
        <f t="shared" si="65"/>
        <v>29488271</v>
      </c>
      <c r="H153" s="156">
        <f t="shared" si="65"/>
        <v>0</v>
      </c>
      <c r="I153" s="156">
        <f t="shared" si="65"/>
        <v>24985415.628</v>
      </c>
      <c r="J153" s="156">
        <f>SUM(J146:J152)</f>
        <v>3117978</v>
      </c>
      <c r="K153" s="156">
        <f t="shared" si="65"/>
        <v>4531761</v>
      </c>
      <c r="L153" s="156">
        <f t="shared" si="65"/>
        <v>3241448</v>
      </c>
      <c r="M153" s="156">
        <f t="shared" si="65"/>
        <v>7148070</v>
      </c>
      <c r="N153" s="156">
        <f t="shared" si="65"/>
        <v>13687134</v>
      </c>
      <c r="O153" s="156">
        <f t="shared" si="65"/>
        <v>4394302</v>
      </c>
      <c r="P153" s="156">
        <f t="shared" si="65"/>
        <v>9181095</v>
      </c>
      <c r="Q153" s="156">
        <f t="shared" si="65"/>
        <v>1338523</v>
      </c>
      <c r="R153" s="156">
        <f>SUM(R146:R152)</f>
        <v>4549641</v>
      </c>
      <c r="S153" s="156">
        <f t="shared" si="65"/>
        <v>7329690</v>
      </c>
      <c r="T153" s="156">
        <f t="shared" si="65"/>
        <v>8261189.364</v>
      </c>
      <c r="U153" s="156">
        <f t="shared" si="65"/>
        <v>2774307.582</v>
      </c>
      <c r="V153" s="156">
        <f>SUM(V146:V152)</f>
        <v>10330520.8</v>
      </c>
      <c r="W153" s="156">
        <f t="shared" si="65"/>
        <v>14558881</v>
      </c>
      <c r="X153" s="156">
        <f t="shared" si="65"/>
        <v>6312272</v>
      </c>
      <c r="Y153" s="156">
        <f t="shared" si="65"/>
        <v>6386208.141000001</v>
      </c>
      <c r="Z153" s="156">
        <f>SUM(Z146:Z152)</f>
        <v>5308257.901</v>
      </c>
      <c r="AA153" s="156">
        <f>SUM(AA146:AA152)</f>
        <v>403150.93100000004</v>
      </c>
      <c r="AB153" s="156">
        <f>SUM(AB146:AB152)</f>
        <v>4609523</v>
      </c>
      <c r="AC153" s="156">
        <f t="shared" si="65"/>
        <v>4354513.659999999</v>
      </c>
      <c r="AD153" s="156">
        <f>SUM(AD146:AD152)</f>
        <v>652435.646</v>
      </c>
      <c r="AE153" s="156">
        <f t="shared" si="65"/>
        <v>5260845</v>
      </c>
      <c r="AF153" s="156">
        <f t="shared" si="65"/>
        <v>1730079.451</v>
      </c>
      <c r="AG153" s="156">
        <f t="shared" si="65"/>
        <v>4284418</v>
      </c>
      <c r="AH153" s="156">
        <f t="shared" si="65"/>
        <v>899223</v>
      </c>
      <c r="AI153" s="156">
        <f t="shared" si="65"/>
        <v>2249151</v>
      </c>
      <c r="AJ153" s="156">
        <f t="shared" si="65"/>
        <v>102021</v>
      </c>
      <c r="AK153" s="156">
        <f t="shared" si="65"/>
        <v>1254726</v>
      </c>
      <c r="AL153" s="156">
        <f t="shared" si="65"/>
        <v>1186630</v>
      </c>
      <c r="AM153" s="157">
        <f t="shared" si="65"/>
        <v>2026483</v>
      </c>
      <c r="AN153" s="156">
        <f>SUM(AN146:AN152)</f>
        <v>158207</v>
      </c>
      <c r="AO153" s="156">
        <f t="shared" si="65"/>
        <v>602626</v>
      </c>
      <c r="AP153" s="156">
        <f aca="true" t="shared" si="66" ref="AP153:BC153">SUM(AP146:AP152)</f>
        <v>309455.918</v>
      </c>
      <c r="AQ153" s="156">
        <f t="shared" si="66"/>
        <v>914216</v>
      </c>
      <c r="AR153" s="156">
        <f t="shared" si="66"/>
        <v>376498</v>
      </c>
      <c r="AS153" s="156">
        <f t="shared" si="66"/>
        <v>623966</v>
      </c>
      <c r="AT153" s="156">
        <f t="shared" si="66"/>
        <v>501767</v>
      </c>
      <c r="AU153" s="156">
        <f t="shared" si="66"/>
        <v>85822.28</v>
      </c>
      <c r="AV153" s="156">
        <f t="shared" si="66"/>
        <v>161036</v>
      </c>
      <c r="AW153" s="156">
        <f t="shared" si="66"/>
        <v>307155</v>
      </c>
      <c r="AX153" s="156">
        <f t="shared" si="66"/>
        <v>32574</v>
      </c>
      <c r="AY153" s="156">
        <f t="shared" si="66"/>
        <v>18265.83</v>
      </c>
      <c r="AZ153" s="156">
        <f t="shared" si="66"/>
        <v>39698</v>
      </c>
      <c r="BA153" s="156">
        <f t="shared" si="66"/>
        <v>0</v>
      </c>
      <c r="BB153" s="156">
        <f>SUM(BB146:BB152)</f>
        <v>0</v>
      </c>
      <c r="BC153" s="156">
        <f t="shared" si="66"/>
        <v>0</v>
      </c>
      <c r="BE153" s="16">
        <f t="shared" si="62"/>
        <v>407792383.587</v>
      </c>
      <c r="BF153" s="16"/>
      <c r="BG153" s="16">
        <f t="shared" si="63"/>
        <v>92889901.20799999</v>
      </c>
      <c r="BH153" s="16">
        <f t="shared" si="64"/>
        <v>314902482.37899995</v>
      </c>
      <c r="BI153" s="157"/>
    </row>
    <row r="154" spans="1:61" ht="11.25" customHeight="1">
      <c r="A154" s="148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G154" s="156"/>
      <c r="AH154" s="156"/>
      <c r="AI154" s="156"/>
      <c r="AJ154" s="156"/>
      <c r="AK154" s="156"/>
      <c r="AL154" s="156"/>
      <c r="AM154" s="157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E154" s="16"/>
      <c r="BF154" s="16"/>
      <c r="BG154" s="16"/>
      <c r="BH154" s="16"/>
      <c r="BI154" s="157"/>
    </row>
    <row r="155" spans="1:61" ht="11.25" customHeight="1">
      <c r="A155" s="169" t="s">
        <v>346</v>
      </c>
      <c r="B155" s="156">
        <f aca="true" t="shared" si="67" ref="B155:AO155">+B143-B153</f>
        <v>1517552</v>
      </c>
      <c r="C155" s="156">
        <f t="shared" si="67"/>
        <v>-366693.8999999985</v>
      </c>
      <c r="D155" s="156">
        <f t="shared" si="67"/>
        <v>1429034</v>
      </c>
      <c r="E155" s="156">
        <f t="shared" si="67"/>
        <v>251547.0889999941</v>
      </c>
      <c r="F155" s="156">
        <f t="shared" si="67"/>
        <v>170238</v>
      </c>
      <c r="G155" s="156">
        <f t="shared" si="67"/>
        <v>-109978</v>
      </c>
      <c r="H155" s="156">
        <f t="shared" si="67"/>
        <v>0</v>
      </c>
      <c r="I155" s="156">
        <f t="shared" si="67"/>
        <v>221804.37200000137</v>
      </c>
      <c r="J155" s="156">
        <f>+J143-J153</f>
        <v>-92024</v>
      </c>
      <c r="K155" s="156">
        <f t="shared" si="67"/>
        <v>110255</v>
      </c>
      <c r="L155" s="156">
        <f t="shared" si="67"/>
        <v>4042.600000000093</v>
      </c>
      <c r="M155" s="156">
        <f t="shared" si="67"/>
        <v>183982</v>
      </c>
      <c r="N155" s="156">
        <f t="shared" si="67"/>
        <v>100621</v>
      </c>
      <c r="O155" s="156">
        <f t="shared" si="67"/>
        <v>122006</v>
      </c>
      <c r="P155" s="156">
        <f t="shared" si="67"/>
        <v>262812</v>
      </c>
      <c r="Q155" s="156">
        <f t="shared" si="67"/>
        <v>27394</v>
      </c>
      <c r="R155" s="156">
        <f>+R143-R153</f>
        <v>12487</v>
      </c>
      <c r="S155" s="156">
        <f t="shared" si="67"/>
        <v>90932</v>
      </c>
      <c r="T155" s="156">
        <f t="shared" si="67"/>
        <v>62487.74399999902</v>
      </c>
      <c r="U155" s="156">
        <f t="shared" si="67"/>
        <v>6842.216000000015</v>
      </c>
      <c r="V155" s="156">
        <f>+V143-V153</f>
        <v>218842.19999999925</v>
      </c>
      <c r="W155" s="156">
        <f t="shared" si="67"/>
        <v>59710</v>
      </c>
      <c r="X155" s="156">
        <f t="shared" si="67"/>
        <v>17885</v>
      </c>
      <c r="Y155" s="156">
        <f t="shared" si="67"/>
        <v>103478.9009999996</v>
      </c>
      <c r="Z155" s="156">
        <f>+Z143-Z153</f>
        <v>12007.856000000611</v>
      </c>
      <c r="AA155" s="156">
        <f>+AA143-AA153</f>
        <v>239.04599999991478</v>
      </c>
      <c r="AB155" s="156">
        <f>+AB143-AB153</f>
        <v>-10105</v>
      </c>
      <c r="AC155" s="156">
        <f t="shared" si="67"/>
        <v>14914.263000000268</v>
      </c>
      <c r="AD155" s="156">
        <f>+AD143-AD153</f>
        <v>-2087.283000000054</v>
      </c>
      <c r="AE155" s="156">
        <f t="shared" si="67"/>
        <v>27835</v>
      </c>
      <c r="AF155" s="156">
        <f t="shared" si="67"/>
        <v>213398.68000000017</v>
      </c>
      <c r="AG155" s="156">
        <f t="shared" si="67"/>
        <v>-35750</v>
      </c>
      <c r="AH155" s="156">
        <f t="shared" si="67"/>
        <v>-4116.900000000023</v>
      </c>
      <c r="AI155" s="156">
        <f t="shared" si="67"/>
        <v>20341</v>
      </c>
      <c r="AJ155" s="156">
        <f t="shared" si="67"/>
        <v>-462</v>
      </c>
      <c r="AK155" s="156">
        <f t="shared" si="67"/>
        <v>-713017</v>
      </c>
      <c r="AL155" s="156">
        <f t="shared" si="67"/>
        <v>65099</v>
      </c>
      <c r="AM155" s="157">
        <f t="shared" si="67"/>
        <v>-525</v>
      </c>
      <c r="AN155" s="156">
        <f>+AN143-AN153</f>
        <v>384</v>
      </c>
      <c r="AO155" s="156">
        <f t="shared" si="67"/>
        <v>-8397</v>
      </c>
      <c r="AP155" s="156">
        <f aca="true" t="shared" si="68" ref="AP155:BC155">+AP143-AP153</f>
        <v>-48650.66600000003</v>
      </c>
      <c r="AQ155" s="156">
        <f t="shared" si="68"/>
        <v>-1312</v>
      </c>
      <c r="AR155" s="156">
        <f t="shared" si="68"/>
        <v>-16565</v>
      </c>
      <c r="AS155" s="156">
        <f t="shared" si="68"/>
        <v>-414</v>
      </c>
      <c r="AT155" s="156">
        <f t="shared" si="68"/>
        <v>-1600</v>
      </c>
      <c r="AU155" s="156">
        <f t="shared" si="68"/>
        <v>1350.205999999991</v>
      </c>
      <c r="AV155" s="156">
        <f t="shared" si="68"/>
        <v>-5280</v>
      </c>
      <c r="AW155" s="156">
        <f t="shared" si="68"/>
        <v>-2094</v>
      </c>
      <c r="AX155" s="156">
        <f t="shared" si="68"/>
        <v>5967.900999999998</v>
      </c>
      <c r="AY155" s="156">
        <f t="shared" si="68"/>
        <v>-3200.107000000011</v>
      </c>
      <c r="AZ155" s="156">
        <f t="shared" si="68"/>
        <v>20547</v>
      </c>
      <c r="BA155" s="156">
        <f t="shared" si="68"/>
        <v>3850</v>
      </c>
      <c r="BB155" s="156">
        <f>+BB143-BB153</f>
        <v>-323</v>
      </c>
      <c r="BC155" s="156">
        <f t="shared" si="68"/>
        <v>888</v>
      </c>
      <c r="BE155" s="16">
        <f>SUM(B155:BC155)</f>
        <v>3938180.2179999957</v>
      </c>
      <c r="BF155" s="16"/>
      <c r="BG155" s="16">
        <f>+B155+AC155+AH155+AJ155+AO155+AP155+AR155+AS155+AV155+AY155+AZ155+BA155+BC155+V155</f>
        <v>1689507.7899999996</v>
      </c>
      <c r="BH155" s="16">
        <f>+C155+D155+E155+F155+G155+H155+I155+J155+K155+L155+M155+N155+O155+P155+Q155+R155+S155+T155+U155+W155+X155+Y155+Z155+AA155+AB155+AD155+AE155+AF155+AG155+AI155+AK155+AL155+AM155+AN155+AQ155+AT155+AU155+AW155+AX155+BB155</f>
        <v>2248672.427999996</v>
      </c>
      <c r="BI155" s="157"/>
    </row>
    <row r="156" spans="1:61" ht="11.25" customHeight="1">
      <c r="A156" s="169"/>
      <c r="B156" s="156"/>
      <c r="C156" s="156"/>
      <c r="D156" s="159"/>
      <c r="E156" s="159"/>
      <c r="F156" s="159"/>
      <c r="G156" s="159"/>
      <c r="H156" s="159"/>
      <c r="I156" s="159"/>
      <c r="J156" s="159"/>
      <c r="K156" s="159"/>
      <c r="L156" s="158"/>
      <c r="M156" s="159"/>
      <c r="N156" s="159"/>
      <c r="O156" s="159"/>
      <c r="P156" s="159"/>
      <c r="Q156" s="159"/>
      <c r="R156" s="158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E156" s="159"/>
      <c r="AG156" s="159"/>
      <c r="AH156" s="158"/>
      <c r="AI156" s="159"/>
      <c r="AJ156" s="159"/>
      <c r="AL156" s="159"/>
      <c r="AM156" s="168"/>
      <c r="AN156" s="159"/>
      <c r="AO156" s="159"/>
      <c r="AQ156" s="159"/>
      <c r="AS156" s="159"/>
      <c r="AT156" s="159"/>
      <c r="AU156" s="159"/>
      <c r="AV156" s="159"/>
      <c r="AW156" s="159"/>
      <c r="AX156" s="159">
        <v>0</v>
      </c>
      <c r="AY156" s="159"/>
      <c r="AZ156" s="159"/>
      <c r="BA156" s="159"/>
      <c r="BE156" s="16"/>
      <c r="BF156" s="16"/>
      <c r="BG156" s="16"/>
      <c r="BH156" s="16"/>
      <c r="BI156" s="157"/>
    </row>
    <row r="157" spans="1:61" ht="11.25" customHeight="1">
      <c r="A157" s="169" t="s">
        <v>347</v>
      </c>
      <c r="B157" s="156">
        <v>0</v>
      </c>
      <c r="C157" s="156">
        <v>366693.4</v>
      </c>
      <c r="D157" s="16">
        <v>2867880</v>
      </c>
      <c r="E157" s="16">
        <v>723891.755</v>
      </c>
      <c r="F157" s="16">
        <v>380577</v>
      </c>
      <c r="G157" s="16">
        <v>448494</v>
      </c>
      <c r="H157" s="16">
        <v>0</v>
      </c>
      <c r="I157" s="16">
        <v>642530</v>
      </c>
      <c r="J157" s="16">
        <v>120306</v>
      </c>
      <c r="K157" s="16">
        <v>375518</v>
      </c>
      <c r="L157" s="16">
        <v>36315</v>
      </c>
      <c r="M157" s="16">
        <v>150250</v>
      </c>
      <c r="N157" s="16">
        <v>164297</v>
      </c>
      <c r="O157" s="16">
        <v>138341</v>
      </c>
      <c r="P157" s="16">
        <v>158379</v>
      </c>
      <c r="Q157" s="16">
        <v>16509</v>
      </c>
      <c r="R157" s="16">
        <v>4412</v>
      </c>
      <c r="S157" s="16">
        <v>375905</v>
      </c>
      <c r="T157" s="16">
        <v>121055.634</v>
      </c>
      <c r="U157" s="156">
        <v>2691</v>
      </c>
      <c r="V157" s="16">
        <v>0</v>
      </c>
      <c r="W157" s="16">
        <v>53656</v>
      </c>
      <c r="X157" s="16">
        <v>86769</v>
      </c>
      <c r="Y157" s="16">
        <v>38889</v>
      </c>
      <c r="Z157" s="16">
        <v>129085.412</v>
      </c>
      <c r="AA157" s="16">
        <v>10458.842</v>
      </c>
      <c r="AB157" s="16">
        <v>35483</v>
      </c>
      <c r="AC157" s="16">
        <v>141630</v>
      </c>
      <c r="AD157" s="16">
        <v>2348.315</v>
      </c>
      <c r="AE157" s="7">
        <v>11405</v>
      </c>
      <c r="AF157" s="16">
        <v>187510.879</v>
      </c>
      <c r="AG157" s="16">
        <v>104616</v>
      </c>
      <c r="AH157" s="16">
        <v>5267</v>
      </c>
      <c r="AI157" s="16">
        <v>951</v>
      </c>
      <c r="AJ157" s="16">
        <v>657</v>
      </c>
      <c r="AK157" s="16">
        <v>1197050</v>
      </c>
      <c r="AL157" s="16">
        <v>17636</v>
      </c>
      <c r="AM157" s="16">
        <v>2098</v>
      </c>
      <c r="AN157" s="16">
        <v>257</v>
      </c>
      <c r="AO157" s="16">
        <v>29809.587</v>
      </c>
      <c r="AP157" s="16">
        <v>56782</v>
      </c>
      <c r="AQ157" s="16">
        <v>2943</v>
      </c>
      <c r="AR157" s="16">
        <v>16575</v>
      </c>
      <c r="AS157" s="16">
        <v>2069</v>
      </c>
      <c r="AT157" s="16">
        <v>1948</v>
      </c>
      <c r="AU157" s="16">
        <v>365.962</v>
      </c>
      <c r="AV157" s="16">
        <v>71295</v>
      </c>
      <c r="AW157" s="16">
        <v>3765</v>
      </c>
      <c r="AX157" s="16">
        <v>41731</v>
      </c>
      <c r="AY157" s="16">
        <f>8413698/1000</f>
        <v>8413.698</v>
      </c>
      <c r="AZ157" s="16">
        <v>6571</v>
      </c>
      <c r="BA157" s="16">
        <v>42942</v>
      </c>
      <c r="BB157" s="16">
        <v>373</v>
      </c>
      <c r="BC157" s="16">
        <v>42644</v>
      </c>
      <c r="BE157" s="16">
        <f>SUM(B157:BC157)</f>
        <v>9448039.484</v>
      </c>
      <c r="BF157" s="16"/>
      <c r="BG157" s="16">
        <f>+B157+AC157+AH157+AJ157+AO157+AP157+AR157+AS157+AV157+AY157+AZ157+BA157+BC157+V157</f>
        <v>424655.285</v>
      </c>
      <c r="BH157" s="16">
        <f>+C157+D157+E157+F157+G157+H157+I157+J157+K157+L157+M157+N157+O157+P157+Q157+R157+S157+T157+U157+W157+X157+Y157+Z157+AA157+AB157+AD157+AE157+AF157+AG157+AI157+AK157+AL157+AM157+AN157+AQ157+AT157+AU157+AW157+AX157+BB157</f>
        <v>9023384.199</v>
      </c>
      <c r="BI157" s="157"/>
    </row>
    <row r="158" spans="1:61" ht="11.25" customHeight="1">
      <c r="A158" s="176"/>
      <c r="B158" s="156"/>
      <c r="C158" s="156"/>
      <c r="D158" s="159"/>
      <c r="E158" s="159"/>
      <c r="F158" s="159"/>
      <c r="G158" s="159"/>
      <c r="H158" s="159"/>
      <c r="I158" s="159"/>
      <c r="J158" s="159"/>
      <c r="K158" s="159"/>
      <c r="L158" s="158"/>
      <c r="M158" s="159"/>
      <c r="N158" s="159"/>
      <c r="O158" s="159"/>
      <c r="P158" s="159"/>
      <c r="Q158" s="159"/>
      <c r="R158" s="158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E158" s="159"/>
      <c r="AG158" s="159"/>
      <c r="AH158" s="158"/>
      <c r="AI158" s="159"/>
      <c r="AJ158" s="159"/>
      <c r="AL158" s="159"/>
      <c r="AM158" s="168"/>
      <c r="AN158" s="159"/>
      <c r="AO158" s="159"/>
      <c r="AQ158" s="159"/>
      <c r="AS158" s="159"/>
      <c r="AT158" s="159"/>
      <c r="AU158" s="159"/>
      <c r="AV158" s="159"/>
      <c r="AW158" s="159"/>
      <c r="AX158" s="159">
        <v>0</v>
      </c>
      <c r="AY158" s="159"/>
      <c r="AZ158" s="159"/>
      <c r="BA158" s="159"/>
      <c r="BE158" s="16"/>
      <c r="BF158" s="16"/>
      <c r="BG158" s="16"/>
      <c r="BH158" s="16"/>
      <c r="BI158" s="157"/>
    </row>
    <row r="159" spans="1:61" s="151" customFormat="1" ht="11.25" customHeight="1">
      <c r="A159" s="221" t="s">
        <v>348</v>
      </c>
      <c r="B159" s="173">
        <f aca="true" t="shared" si="69" ref="B159:AO159">+B155+B157</f>
        <v>1517552</v>
      </c>
      <c r="C159" s="173">
        <f t="shared" si="69"/>
        <v>-0.4999999984866008</v>
      </c>
      <c r="D159" s="173">
        <f t="shared" si="69"/>
        <v>4296914</v>
      </c>
      <c r="E159" s="173">
        <f t="shared" si="69"/>
        <v>975438.8439999941</v>
      </c>
      <c r="F159" s="173">
        <f t="shared" si="69"/>
        <v>550815</v>
      </c>
      <c r="G159" s="173">
        <f t="shared" si="69"/>
        <v>338516</v>
      </c>
      <c r="H159" s="173">
        <f t="shared" si="69"/>
        <v>0</v>
      </c>
      <c r="I159" s="173">
        <f t="shared" si="69"/>
        <v>864334.3720000014</v>
      </c>
      <c r="J159" s="173">
        <f>+J155+J157</f>
        <v>28282</v>
      </c>
      <c r="K159" s="173">
        <f t="shared" si="69"/>
        <v>485773</v>
      </c>
      <c r="L159" s="173">
        <f t="shared" si="69"/>
        <v>40357.60000000009</v>
      </c>
      <c r="M159" s="173">
        <f t="shared" si="69"/>
        <v>334232</v>
      </c>
      <c r="N159" s="173">
        <f t="shared" si="69"/>
        <v>264918</v>
      </c>
      <c r="O159" s="173">
        <f t="shared" si="69"/>
        <v>260347</v>
      </c>
      <c r="P159" s="173">
        <f t="shared" si="69"/>
        <v>421191</v>
      </c>
      <c r="Q159" s="173">
        <f t="shared" si="69"/>
        <v>43903</v>
      </c>
      <c r="R159" s="173">
        <f>+R155+R157</f>
        <v>16899</v>
      </c>
      <c r="S159" s="173">
        <f t="shared" si="69"/>
        <v>466837</v>
      </c>
      <c r="T159" s="173">
        <f t="shared" si="69"/>
        <v>183543.37799999904</v>
      </c>
      <c r="U159" s="173">
        <f t="shared" si="69"/>
        <v>9533.216000000015</v>
      </c>
      <c r="V159" s="173">
        <f>+V155+V157</f>
        <v>218842.19999999925</v>
      </c>
      <c r="W159" s="173">
        <f t="shared" si="69"/>
        <v>113366</v>
      </c>
      <c r="X159" s="173">
        <f t="shared" si="69"/>
        <v>104654</v>
      </c>
      <c r="Y159" s="173">
        <f t="shared" si="69"/>
        <v>142367.9009999996</v>
      </c>
      <c r="Z159" s="173">
        <f>+Z155+Z157</f>
        <v>141093.26800000062</v>
      </c>
      <c r="AA159" s="173">
        <f>+AA155+AA157</f>
        <v>10697.887999999915</v>
      </c>
      <c r="AB159" s="173">
        <f>+AB155+AB157</f>
        <v>25378</v>
      </c>
      <c r="AC159" s="173">
        <f t="shared" si="69"/>
        <v>156544.26300000027</v>
      </c>
      <c r="AD159" s="173">
        <f>+AD155+AD157</f>
        <v>261.03199999994604</v>
      </c>
      <c r="AE159" s="173">
        <f t="shared" si="69"/>
        <v>39240</v>
      </c>
      <c r="AF159" s="173">
        <f t="shared" si="69"/>
        <v>400909.5590000001</v>
      </c>
      <c r="AG159" s="173">
        <f t="shared" si="69"/>
        <v>68866</v>
      </c>
      <c r="AH159" s="173">
        <f t="shared" si="69"/>
        <v>1150.0999999999767</v>
      </c>
      <c r="AI159" s="173">
        <f t="shared" si="69"/>
        <v>21292</v>
      </c>
      <c r="AJ159" s="173">
        <f t="shared" si="69"/>
        <v>195</v>
      </c>
      <c r="AK159" s="173">
        <f t="shared" si="69"/>
        <v>484033</v>
      </c>
      <c r="AL159" s="173">
        <f t="shared" si="69"/>
        <v>82735</v>
      </c>
      <c r="AM159" s="173">
        <f t="shared" si="69"/>
        <v>1573</v>
      </c>
      <c r="AN159" s="173">
        <f>+AN155+AN157</f>
        <v>641</v>
      </c>
      <c r="AO159" s="173">
        <f t="shared" si="69"/>
        <v>21412.587</v>
      </c>
      <c r="AP159" s="173">
        <f aca="true" t="shared" si="70" ref="AP159:BC159">+AP155+AP157</f>
        <v>8131.3339999999735</v>
      </c>
      <c r="AQ159" s="173">
        <f t="shared" si="70"/>
        <v>1631</v>
      </c>
      <c r="AR159" s="173">
        <f t="shared" si="70"/>
        <v>10</v>
      </c>
      <c r="AS159" s="173">
        <f t="shared" si="70"/>
        <v>1655</v>
      </c>
      <c r="AT159" s="173">
        <f t="shared" si="70"/>
        <v>348</v>
      </c>
      <c r="AU159" s="173">
        <f t="shared" si="70"/>
        <v>1716.167999999991</v>
      </c>
      <c r="AV159" s="173">
        <f t="shared" si="70"/>
        <v>66015</v>
      </c>
      <c r="AW159" s="173">
        <f t="shared" si="70"/>
        <v>1671</v>
      </c>
      <c r="AX159" s="173">
        <f t="shared" si="70"/>
        <v>47698.901</v>
      </c>
      <c r="AY159" s="173">
        <f t="shared" si="70"/>
        <v>5213.590999999989</v>
      </c>
      <c r="AZ159" s="173">
        <f t="shared" si="70"/>
        <v>27118</v>
      </c>
      <c r="BA159" s="173">
        <f t="shared" si="70"/>
        <v>46792</v>
      </c>
      <c r="BB159" s="173">
        <f>+BB155+BB157</f>
        <v>50</v>
      </c>
      <c r="BC159" s="173">
        <f t="shared" si="70"/>
        <v>43532</v>
      </c>
      <c r="BE159" s="149">
        <f>SUM(B159:BC159)</f>
        <v>13386219.701999998</v>
      </c>
      <c r="BF159" s="149"/>
      <c r="BG159" s="149">
        <f>+B159+AC159+AH159+AJ159+AO159+AP159+AR159+AS159+AV159+AY159+AZ159+BA159+BC159+V159</f>
        <v>2114163.0749999997</v>
      </c>
      <c r="BH159" s="149">
        <f>+C159+D159+E159+F159+G159+H159+I159+J159+K159+L159+M159+N159+O159+P159+Q159+R159+S159+T159+U159+W159+X159+Y159+Z159+AA159+AB159+AD159+AE159+AF159+AG159+AI159+AK159+AL159+AM159+AN159+AQ159+AT159+AU159+AW159+AX159+BB159</f>
        <v>11272056.626999998</v>
      </c>
      <c r="BI159" s="173"/>
    </row>
    <row r="160" spans="1:60" ht="11.25" customHeight="1" hidden="1">
      <c r="A160" s="147" t="s">
        <v>464</v>
      </c>
      <c r="BH160" s="16"/>
    </row>
    <row r="161" spans="1:60" ht="11.25" customHeight="1" hidden="1">
      <c r="A161" s="147" t="s">
        <v>465</v>
      </c>
      <c r="B161" s="147">
        <f aca="true" t="shared" si="71" ref="B161:AE161">+B65-B119</f>
        <v>0</v>
      </c>
      <c r="C161" s="147">
        <f t="shared" si="71"/>
        <v>0</v>
      </c>
      <c r="D161" s="147">
        <f t="shared" si="71"/>
        <v>0</v>
      </c>
      <c r="E161" s="147">
        <f t="shared" si="71"/>
        <v>0.6700000017881393</v>
      </c>
      <c r="F161" s="147">
        <f t="shared" si="71"/>
        <v>0</v>
      </c>
      <c r="G161" s="147">
        <f t="shared" si="71"/>
        <v>0</v>
      </c>
      <c r="H161" s="147">
        <f t="shared" si="71"/>
        <v>0</v>
      </c>
      <c r="I161" s="147">
        <f t="shared" si="71"/>
        <v>-0.35500001162290573</v>
      </c>
      <c r="J161" s="147">
        <f>+J65-J119</f>
        <v>0.20000000018626451</v>
      </c>
      <c r="K161" s="147">
        <f t="shared" si="71"/>
        <v>0</v>
      </c>
      <c r="L161" s="147">
        <f t="shared" si="71"/>
        <v>0</v>
      </c>
      <c r="M161" s="147">
        <f t="shared" si="71"/>
        <v>0</v>
      </c>
      <c r="N161" s="147">
        <f t="shared" si="71"/>
        <v>0</v>
      </c>
      <c r="O161" s="147">
        <f t="shared" si="71"/>
        <v>0</v>
      </c>
      <c r="P161" s="147">
        <f t="shared" si="71"/>
        <v>0</v>
      </c>
      <c r="Q161" s="147">
        <f t="shared" si="71"/>
        <v>0</v>
      </c>
      <c r="R161" s="147">
        <f>+R65-R119</f>
        <v>-0.19999999925494194</v>
      </c>
      <c r="S161" s="147">
        <f t="shared" si="71"/>
        <v>0</v>
      </c>
      <c r="T161" s="147">
        <f t="shared" si="71"/>
        <v>0.28599999845027924</v>
      </c>
      <c r="U161" s="147">
        <f t="shared" si="71"/>
        <v>0</v>
      </c>
      <c r="V161" s="147">
        <f>+V65-V119</f>
        <v>0</v>
      </c>
      <c r="W161" s="147">
        <f t="shared" si="71"/>
        <v>0</v>
      </c>
      <c r="X161" s="147">
        <f t="shared" si="71"/>
        <v>-0.3760000001639128</v>
      </c>
      <c r="Y161" s="147">
        <f t="shared" si="71"/>
        <v>0.392000000923872</v>
      </c>
      <c r="Z161" s="147">
        <f>+Z65-Z119</f>
        <v>-0.00299999862909317</v>
      </c>
      <c r="AA161" s="147">
        <f>+AA65-AA119</f>
        <v>-0.2929999998304993</v>
      </c>
      <c r="AB161" s="147">
        <f>+AB65-AB119</f>
        <v>0</v>
      </c>
      <c r="AC161" s="147">
        <f t="shared" si="71"/>
        <v>-0.5449999999254942</v>
      </c>
      <c r="AD161" s="147">
        <f>+AD65-AD119</f>
        <v>0.0009999999310821295</v>
      </c>
      <c r="AE161" s="147">
        <f t="shared" si="71"/>
        <v>0</v>
      </c>
      <c r="AF161" s="147">
        <f>+AF60-AF118</f>
        <v>0</v>
      </c>
      <c r="AG161" s="147">
        <f aca="true" t="shared" si="72" ref="AG161:AO161">+AG65-AG119</f>
        <v>0</v>
      </c>
      <c r="AH161" s="147">
        <f t="shared" si="72"/>
        <v>0.28399999998509884</v>
      </c>
      <c r="AI161" s="147">
        <f t="shared" si="72"/>
        <v>0</v>
      </c>
      <c r="AJ161" s="147">
        <f t="shared" si="72"/>
        <v>0</v>
      </c>
      <c r="AK161" s="147">
        <f t="shared" si="72"/>
        <v>0</v>
      </c>
      <c r="AL161" s="147">
        <f t="shared" si="72"/>
        <v>0</v>
      </c>
      <c r="AM161" s="147">
        <f t="shared" si="72"/>
        <v>0</v>
      </c>
      <c r="AN161" s="147">
        <f>+AN65-AN119</f>
        <v>0</v>
      </c>
      <c r="AO161" s="147">
        <f t="shared" si="72"/>
        <v>0.039000000106170774</v>
      </c>
      <c r="AP161" s="147">
        <f aca="true" t="shared" si="73" ref="AP161:AV161">+AP65-AP119</f>
        <v>-0.223000000230968</v>
      </c>
      <c r="AQ161" s="147">
        <f t="shared" si="73"/>
        <v>0</v>
      </c>
      <c r="AR161" s="147">
        <f t="shared" si="73"/>
        <v>0</v>
      </c>
      <c r="AS161" s="147">
        <f t="shared" si="73"/>
        <v>0</v>
      </c>
      <c r="AT161" s="147">
        <f t="shared" si="73"/>
        <v>0.3699999999953434</v>
      </c>
      <c r="AU161" s="147">
        <f t="shared" si="73"/>
        <v>0.0010000000474974513</v>
      </c>
      <c r="AV161" s="147">
        <f t="shared" si="73"/>
        <v>0</v>
      </c>
      <c r="AW161" s="147">
        <f aca="true" t="shared" si="74" ref="AW161:BF161">+AW65-AW119</f>
        <v>0</v>
      </c>
      <c r="AX161" s="147">
        <f t="shared" si="74"/>
        <v>0</v>
      </c>
      <c r="AY161" s="147">
        <f t="shared" si="74"/>
        <v>0</v>
      </c>
      <c r="AZ161" s="147">
        <f t="shared" si="74"/>
        <v>0</v>
      </c>
      <c r="BA161" s="147">
        <f t="shared" si="74"/>
        <v>-0.4349999999976717</v>
      </c>
      <c r="BB161" s="147">
        <f>+BB65-BB119</f>
        <v>0</v>
      </c>
      <c r="BC161" s="147">
        <f t="shared" si="74"/>
        <v>0</v>
      </c>
      <c r="BD161" s="147">
        <f t="shared" si="74"/>
        <v>0</v>
      </c>
      <c r="BE161" s="147">
        <f t="shared" si="74"/>
        <v>-0.18699991703033447</v>
      </c>
      <c r="BF161" s="147">
        <f t="shared" si="74"/>
        <v>0</v>
      </c>
      <c r="BG161" s="16">
        <f>+B161+AC161+AH161+AJ161+AO161+AP161+AR161+AS161+AV161+AY161+AZ161+BA161+BC161+V161</f>
        <v>-0.8800000000628643</v>
      </c>
      <c r="BH161" s="16">
        <f>+C161+D161+E161+F161+G161+H161+I161+J161+K161+L161+M161+N161+O161+P161+Q161+R161+S161+T161+U161+W161+X161+Y161+Z161+AA161+AB161+AD161+AE161+AF161+AG161+AI161+AK161+AL161+AM161+AN161+AQ161+AT161+AU161+AW161+AX161+BB161</f>
        <v>0.6929999918211251</v>
      </c>
    </row>
    <row r="162" spans="1:60" ht="11.25" customHeight="1" hidden="1">
      <c r="A162" s="147" t="s">
        <v>466</v>
      </c>
      <c r="B162" s="147">
        <f aca="true" t="shared" si="75" ref="B162:AO162">+B97-B159</f>
        <v>0</v>
      </c>
      <c r="C162" s="147">
        <f t="shared" si="75"/>
        <v>0.4999999984866008</v>
      </c>
      <c r="D162" s="147">
        <f t="shared" si="75"/>
        <v>0</v>
      </c>
      <c r="E162" s="147">
        <f t="shared" si="75"/>
        <v>-0.04399999405723065</v>
      </c>
      <c r="F162" s="147">
        <f t="shared" si="75"/>
        <v>0</v>
      </c>
      <c r="G162" s="147">
        <f t="shared" si="75"/>
        <v>0</v>
      </c>
      <c r="H162" s="147">
        <f t="shared" si="75"/>
        <v>0</v>
      </c>
      <c r="I162" s="147">
        <f t="shared" si="75"/>
        <v>-0.37200000137090683</v>
      </c>
      <c r="J162" s="147">
        <f>+J97-J159</f>
        <v>0</v>
      </c>
      <c r="K162" s="147">
        <f t="shared" si="75"/>
        <v>0</v>
      </c>
      <c r="L162" s="147">
        <f t="shared" si="75"/>
        <v>0.39999999990686774</v>
      </c>
      <c r="M162" s="147">
        <f t="shared" si="75"/>
        <v>0</v>
      </c>
      <c r="N162" s="147">
        <f t="shared" si="75"/>
        <v>0</v>
      </c>
      <c r="O162" s="147">
        <f t="shared" si="75"/>
        <v>0</v>
      </c>
      <c r="P162" s="147">
        <f t="shared" si="75"/>
        <v>0</v>
      </c>
      <c r="Q162" s="147">
        <f t="shared" si="75"/>
        <v>0</v>
      </c>
      <c r="R162" s="147">
        <f>+R97-R159</f>
        <v>0</v>
      </c>
      <c r="S162" s="147">
        <f t="shared" si="75"/>
        <v>0</v>
      </c>
      <c r="T162" s="147">
        <f t="shared" si="75"/>
        <v>-0.3779999990365468</v>
      </c>
      <c r="U162" s="147">
        <f t="shared" si="75"/>
        <v>-0.21600000001490116</v>
      </c>
      <c r="V162" s="147">
        <f>+V97-V159</f>
        <v>-0.19999999925494194</v>
      </c>
      <c r="W162" s="147">
        <f t="shared" si="75"/>
        <v>0</v>
      </c>
      <c r="X162" s="147">
        <f t="shared" si="75"/>
        <v>0</v>
      </c>
      <c r="Y162" s="147">
        <f t="shared" si="75"/>
        <v>0.09900000039488077</v>
      </c>
      <c r="Z162" s="147">
        <f>+Z97-Z159</f>
        <v>-0.0010000006295740604</v>
      </c>
      <c r="AA162" s="147">
        <f>+AA97-AA159</f>
        <v>8.549250196665525E-11</v>
      </c>
      <c r="AB162" s="147">
        <f>+AB97-AB159</f>
        <v>0</v>
      </c>
      <c r="AC162" s="147">
        <f t="shared" si="75"/>
        <v>0.3599999997240957</v>
      </c>
      <c r="AD162" s="147">
        <f>+AD97-AD159</f>
        <v>5.3944404498906806E-11</v>
      </c>
      <c r="AE162" s="147">
        <f t="shared" si="75"/>
        <v>0</v>
      </c>
      <c r="AF162" s="147">
        <f t="shared" si="75"/>
        <v>0</v>
      </c>
      <c r="AG162" s="147">
        <f t="shared" si="75"/>
        <v>0</v>
      </c>
      <c r="AH162" s="147">
        <f t="shared" si="75"/>
        <v>-0.09999999997671694</v>
      </c>
      <c r="AI162" s="147">
        <f t="shared" si="75"/>
        <v>0</v>
      </c>
      <c r="AJ162" s="147">
        <f t="shared" si="75"/>
        <v>0</v>
      </c>
      <c r="AK162" s="147">
        <f t="shared" si="75"/>
        <v>0</v>
      </c>
      <c r="AL162" s="147">
        <f t="shared" si="75"/>
        <v>0</v>
      </c>
      <c r="AM162" s="147">
        <f t="shared" si="75"/>
        <v>0</v>
      </c>
      <c r="AN162" s="147">
        <f>+AN97-AN159</f>
        <v>0</v>
      </c>
      <c r="AO162" s="147">
        <f t="shared" si="75"/>
        <v>-0.04899999999906868</v>
      </c>
      <c r="AP162" s="147">
        <f aca="true" t="shared" si="76" ref="AP162:BF162">+AP97-AP159</f>
        <v>-0.3339999999734573</v>
      </c>
      <c r="AQ162" s="147">
        <f t="shared" si="76"/>
        <v>0</v>
      </c>
      <c r="AR162" s="147">
        <f t="shared" si="76"/>
        <v>0</v>
      </c>
      <c r="AS162" s="147">
        <f t="shared" si="76"/>
        <v>0</v>
      </c>
      <c r="AT162" s="147">
        <f t="shared" si="76"/>
        <v>0</v>
      </c>
      <c r="AU162" s="147">
        <f t="shared" si="76"/>
        <v>8.86757334228605E-12</v>
      </c>
      <c r="AV162" s="147">
        <f t="shared" si="76"/>
        <v>0</v>
      </c>
      <c r="AW162" s="147">
        <f t="shared" si="76"/>
        <v>0</v>
      </c>
      <c r="AX162" s="147">
        <f t="shared" si="76"/>
        <v>0.09900000000197906</v>
      </c>
      <c r="AY162" s="147">
        <f t="shared" si="76"/>
        <v>0.270000000010441</v>
      </c>
      <c r="AZ162" s="147">
        <f t="shared" si="76"/>
        <v>0</v>
      </c>
      <c r="BA162" s="147">
        <f t="shared" si="76"/>
        <v>0</v>
      </c>
      <c r="BB162" s="147">
        <f>+BB97-BB159</f>
        <v>0</v>
      </c>
      <c r="BC162" s="147">
        <f t="shared" si="76"/>
        <v>0</v>
      </c>
      <c r="BD162" s="147">
        <f t="shared" si="76"/>
        <v>0</v>
      </c>
      <c r="BE162" s="147">
        <f t="shared" si="76"/>
        <v>0.03400000371038914</v>
      </c>
      <c r="BF162" s="147">
        <f t="shared" si="76"/>
        <v>0</v>
      </c>
      <c r="BG162" s="16">
        <f>+B162+AC162+AH162+AJ162+AO162+AP162+AR162+AS162+AV162+AY162+AZ162+BA162+BC162+V162</f>
        <v>-0.052999999469648174</v>
      </c>
      <c r="BH162" s="16">
        <f>+C162+D162+E162+F162+G162+H162+I162+J162+K162+L162+M162+N162+O162+P162+Q162+R162+S162+T162+U162+W162+X162+Y162+Z162+AA162+AB162+AD162+AE162+AF162+AG162+AI162+AK162+AL162+AM162+AN162+AQ162+AT162+AU162+AW162+AX162+BB162</f>
        <v>0.08700000382947337</v>
      </c>
    </row>
  </sheetData>
  <sheetProtection/>
  <mergeCells count="23">
    <mergeCell ref="B1:C1"/>
    <mergeCell ref="B2:C2"/>
    <mergeCell ref="B4:C4"/>
    <mergeCell ref="G4:H4"/>
    <mergeCell ref="G1:H1"/>
    <mergeCell ref="G2:H2"/>
    <mergeCell ref="G3:H3"/>
    <mergeCell ref="P1:Q1"/>
    <mergeCell ref="P2:Q2"/>
    <mergeCell ref="P3:Q3"/>
    <mergeCell ref="P4:Q4"/>
    <mergeCell ref="N4:O4"/>
    <mergeCell ref="N1:O1"/>
    <mergeCell ref="N2:O2"/>
    <mergeCell ref="N3:O3"/>
    <mergeCell ref="AI1:AJ1"/>
    <mergeCell ref="AI2:AJ2"/>
    <mergeCell ref="AI3:AJ3"/>
    <mergeCell ref="AI4:AJ4"/>
    <mergeCell ref="Z1:AA1"/>
    <mergeCell ref="Z2:AA2"/>
    <mergeCell ref="Z3:AA3"/>
    <mergeCell ref="Z4:AA4"/>
  </mergeCells>
  <printOptions/>
  <pageMargins left="0.4724409448818898" right="0.2755905511811024" top="0.8267716535433072" bottom="0" header="0.1968503937007874" footer="0.11811023622047245"/>
  <pageSetup firstPageNumber="36" useFirstPageNumber="1" horizontalDpi="600" verticalDpi="600" orientation="portrait" paperSize="9" r:id="rId1"/>
  <headerFooter alignWithMargins="0">
    <oddHeader>&amp;C&amp;"Times New Roman,Bold"&amp;14 4.1. SAMTRYGGINGARDEILDIR      
YFIRLIT, EFNAHAGSREIKNINGAR OG SJÓÐSTREYMI ÁRIÐ 2004</oddHeader>
    <oddFooter>&amp;R&amp;"Times New Roman,Regular"&amp;P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L92"/>
  <sheetViews>
    <sheetView zoomScalePageLayoutView="0" workbookViewId="0" topLeftCell="A1">
      <pane xSplit="2" ySplit="6" topLeftCell="C7" activePane="bottomRight" state="frozen"/>
      <selection pane="topLeft" activeCell="BK79" sqref="BK79"/>
      <selection pane="topRight" activeCell="BK79" sqref="BK79"/>
      <selection pane="bottomLeft" activeCell="BK79" sqref="BK79"/>
      <selection pane="bottomRight" activeCell="A1" sqref="A1"/>
    </sheetView>
  </sheetViews>
  <sheetFormatPr defaultColWidth="9.140625" defaultRowHeight="12.75"/>
  <cols>
    <col min="1" max="1" width="28.140625" style="50" customWidth="1"/>
    <col min="2" max="2" width="2.7109375" style="238" customWidth="1"/>
    <col min="3" max="3" width="9.28125" style="2" customWidth="1"/>
    <col min="4" max="4" width="10.00390625" style="2" customWidth="1"/>
    <col min="5" max="5" width="9.57421875" style="2" customWidth="1"/>
    <col min="6" max="6" width="9.7109375" style="2" customWidth="1"/>
    <col min="7" max="8" width="9.421875" style="2" customWidth="1"/>
    <col min="9" max="9" width="9.28125" style="2" customWidth="1"/>
    <col min="10" max="10" width="9.421875" style="2" customWidth="1"/>
    <col min="11" max="12" width="9.28125" style="2" customWidth="1"/>
    <col min="13" max="13" width="9.140625" style="2" customWidth="1"/>
    <col min="14" max="14" width="8.8515625" style="50" customWidth="1"/>
    <col min="15" max="16" width="9.140625" style="50" customWidth="1"/>
    <col min="17" max="18" width="10.7109375" style="50" customWidth="1"/>
    <col min="19" max="20" width="10.7109375" style="2" customWidth="1"/>
    <col min="21" max="21" width="10.421875" style="2" customWidth="1"/>
    <col min="22" max="22" width="8.57421875" style="50" customWidth="1"/>
    <col min="23" max="23" width="9.28125" style="2" customWidth="1"/>
    <col min="24" max="24" width="9.7109375" style="2" customWidth="1"/>
    <col min="25" max="25" width="9.28125" style="2" customWidth="1"/>
    <col min="26" max="26" width="9.7109375" style="2" customWidth="1"/>
    <col min="27" max="27" width="8.140625" style="2" customWidth="1"/>
    <col min="28" max="28" width="8.7109375" style="2" customWidth="1"/>
    <col min="29" max="29" width="8.00390625" style="2" customWidth="1"/>
    <col min="30" max="30" width="9.140625" style="2" customWidth="1"/>
    <col min="31" max="31" width="9.00390625" style="50" customWidth="1"/>
    <col min="32" max="32" width="9.8515625" style="2" customWidth="1"/>
    <col min="33" max="33" width="9.7109375" style="2" customWidth="1"/>
    <col min="34" max="34" width="9.57421875" style="2" customWidth="1"/>
    <col min="35" max="35" width="10.140625" style="2" customWidth="1"/>
    <col min="36" max="37" width="9.00390625" style="2" customWidth="1"/>
    <col min="38" max="38" width="9.421875" style="2" customWidth="1"/>
    <col min="39" max="39" width="9.140625" style="2" customWidth="1"/>
    <col min="40" max="40" width="9.28125" style="2" customWidth="1"/>
    <col min="41" max="41" width="9.57421875" style="2" customWidth="1"/>
    <col min="42" max="42" width="9.8515625" style="50" customWidth="1"/>
    <col min="43" max="43" width="10.421875" style="2" customWidth="1"/>
    <col min="44" max="44" width="10.00390625" style="2" customWidth="1"/>
    <col min="45" max="45" width="10.421875" style="50" customWidth="1"/>
    <col min="46" max="46" width="9.57421875" style="2" customWidth="1"/>
    <col min="47" max="47" width="10.421875" style="2" customWidth="1"/>
    <col min="48" max="48" width="10.140625" style="2" customWidth="1"/>
    <col min="49" max="49" width="10.7109375" style="2" bestFit="1" customWidth="1"/>
    <col min="50" max="50" width="10.28125" style="2" customWidth="1"/>
    <col min="51" max="51" width="9.7109375" style="2" customWidth="1"/>
    <col min="52" max="52" width="12.57421875" style="2" customWidth="1"/>
    <col min="53" max="53" width="11.140625" style="2" customWidth="1"/>
    <col min="54" max="54" width="11.8515625" style="2" customWidth="1"/>
    <col min="55" max="55" width="10.140625" style="2" customWidth="1"/>
    <col min="56" max="56" width="10.7109375" style="50" customWidth="1"/>
    <col min="57" max="57" width="4.57421875" style="2" customWidth="1"/>
    <col min="58" max="58" width="12.421875" style="2" customWidth="1"/>
    <col min="59" max="59" width="4.57421875" style="2" customWidth="1"/>
    <col min="60" max="60" width="12.57421875" style="2" customWidth="1"/>
    <col min="61" max="61" width="12.140625" style="2" customWidth="1"/>
    <col min="62" max="62" width="5.00390625" style="2" customWidth="1"/>
    <col min="63" max="16384" width="9.140625" style="2" customWidth="1"/>
  </cols>
  <sheetData>
    <row r="1" spans="1:61" s="18" customFormat="1" ht="15" customHeight="1">
      <c r="A1" s="7"/>
      <c r="B1" s="71"/>
      <c r="C1" s="363" t="s">
        <v>69</v>
      </c>
      <c r="D1" s="363"/>
      <c r="E1" s="55" t="s">
        <v>69</v>
      </c>
      <c r="F1" s="55" t="s">
        <v>69</v>
      </c>
      <c r="G1" s="55" t="s">
        <v>69</v>
      </c>
      <c r="H1" s="363" t="s">
        <v>70</v>
      </c>
      <c r="I1" s="363"/>
      <c r="J1" s="55" t="s">
        <v>69</v>
      </c>
      <c r="K1" s="55" t="s">
        <v>73</v>
      </c>
      <c r="L1" s="55" t="s">
        <v>71</v>
      </c>
      <c r="M1" s="55" t="s">
        <v>481</v>
      </c>
      <c r="N1" s="55" t="s">
        <v>69</v>
      </c>
      <c r="O1" s="363" t="s">
        <v>69</v>
      </c>
      <c r="P1" s="363"/>
      <c r="Q1" s="363" t="s">
        <v>72</v>
      </c>
      <c r="R1" s="363"/>
      <c r="S1" s="55" t="s">
        <v>69</v>
      </c>
      <c r="T1" s="55" t="s">
        <v>69</v>
      </c>
      <c r="U1" s="55" t="s">
        <v>69</v>
      </c>
      <c r="V1" s="55" t="s">
        <v>69</v>
      </c>
      <c r="W1" s="55" t="s">
        <v>69</v>
      </c>
      <c r="X1" s="55" t="s">
        <v>69</v>
      </c>
      <c r="Y1" s="55" t="s">
        <v>69</v>
      </c>
      <c r="Z1" s="55" t="s">
        <v>69</v>
      </c>
      <c r="AA1" s="363" t="s">
        <v>69</v>
      </c>
      <c r="AB1" s="363" t="s">
        <v>69</v>
      </c>
      <c r="AC1" s="55" t="s">
        <v>69</v>
      </c>
      <c r="AD1" s="55" t="s">
        <v>69</v>
      </c>
      <c r="AE1" s="55" t="s">
        <v>76</v>
      </c>
      <c r="AF1" s="55" t="s">
        <v>74</v>
      </c>
      <c r="AG1" s="55" t="s">
        <v>69</v>
      </c>
      <c r="AH1" s="55" t="s">
        <v>69</v>
      </c>
      <c r="AI1" s="55" t="s">
        <v>77</v>
      </c>
      <c r="AJ1" s="363" t="s">
        <v>69</v>
      </c>
      <c r="AK1" s="363" t="s">
        <v>69</v>
      </c>
      <c r="AL1" s="55" t="s">
        <v>69</v>
      </c>
      <c r="AM1" s="55" t="s">
        <v>69</v>
      </c>
      <c r="AN1" s="55" t="s">
        <v>69</v>
      </c>
      <c r="AO1" s="55" t="s">
        <v>69</v>
      </c>
      <c r="AP1" s="55" t="s">
        <v>69</v>
      </c>
      <c r="AQ1" s="55" t="s">
        <v>77</v>
      </c>
      <c r="AR1" s="55" t="s">
        <v>69</v>
      </c>
      <c r="AS1" s="55" t="s">
        <v>69</v>
      </c>
      <c r="AT1" s="55" t="s">
        <v>69</v>
      </c>
      <c r="AU1" s="55" t="s">
        <v>77</v>
      </c>
      <c r="AV1" s="55" t="s">
        <v>77</v>
      </c>
      <c r="AW1" s="55" t="s">
        <v>77</v>
      </c>
      <c r="AX1" s="55" t="s">
        <v>69</v>
      </c>
      <c r="AY1" s="55" t="s">
        <v>75</v>
      </c>
      <c r="AZ1" s="55" t="s">
        <v>69</v>
      </c>
      <c r="BA1" s="55" t="s">
        <v>69</v>
      </c>
      <c r="BB1" s="55" t="s">
        <v>77</v>
      </c>
      <c r="BC1" s="55" t="s">
        <v>69</v>
      </c>
      <c r="BD1" s="55" t="s">
        <v>69</v>
      </c>
      <c r="BF1" s="55"/>
      <c r="BG1" s="55"/>
      <c r="BH1" s="55" t="s">
        <v>69</v>
      </c>
      <c r="BI1" s="55" t="s">
        <v>69</v>
      </c>
    </row>
    <row r="2" spans="1:61" s="18" customFormat="1" ht="15" customHeight="1">
      <c r="A2" s="10" t="s">
        <v>62</v>
      </c>
      <c r="B2" s="71"/>
      <c r="C2" s="363" t="s">
        <v>376</v>
      </c>
      <c r="D2" s="363"/>
      <c r="E2" s="55" t="s">
        <v>80</v>
      </c>
      <c r="F2" s="55" t="s">
        <v>82</v>
      </c>
      <c r="G2" s="55" t="s">
        <v>84</v>
      </c>
      <c r="H2" s="363" t="s">
        <v>83</v>
      </c>
      <c r="I2" s="363"/>
      <c r="J2" s="55" t="s">
        <v>85</v>
      </c>
      <c r="K2" s="55" t="s">
        <v>83</v>
      </c>
      <c r="L2" s="55" t="s">
        <v>83</v>
      </c>
      <c r="M2" s="55" t="s">
        <v>95</v>
      </c>
      <c r="N2" s="55" t="s">
        <v>87</v>
      </c>
      <c r="O2" s="363" t="s">
        <v>86</v>
      </c>
      <c r="P2" s="363" t="s">
        <v>86</v>
      </c>
      <c r="Q2" s="363" t="s">
        <v>83</v>
      </c>
      <c r="R2" s="363" t="s">
        <v>83</v>
      </c>
      <c r="S2" s="55" t="s">
        <v>90</v>
      </c>
      <c r="T2" s="55" t="s">
        <v>88</v>
      </c>
      <c r="U2" s="55" t="s">
        <v>89</v>
      </c>
      <c r="V2" s="55" t="s">
        <v>93</v>
      </c>
      <c r="W2" s="55" t="s">
        <v>96</v>
      </c>
      <c r="X2" s="55" t="s">
        <v>92</v>
      </c>
      <c r="Y2" s="55" t="s">
        <v>94</v>
      </c>
      <c r="Z2" s="55" t="s">
        <v>91</v>
      </c>
      <c r="AA2" s="363" t="s">
        <v>100</v>
      </c>
      <c r="AB2" s="363" t="s">
        <v>100</v>
      </c>
      <c r="AC2" s="55" t="s">
        <v>97</v>
      </c>
      <c r="AD2" s="55" t="s">
        <v>100</v>
      </c>
      <c r="AE2" s="55" t="s">
        <v>83</v>
      </c>
      <c r="AF2" s="55" t="s">
        <v>98</v>
      </c>
      <c r="AG2" s="55" t="s">
        <v>100</v>
      </c>
      <c r="AH2" s="55" t="s">
        <v>101</v>
      </c>
      <c r="AI2" s="55" t="s">
        <v>100</v>
      </c>
      <c r="AJ2" s="363" t="s">
        <v>102</v>
      </c>
      <c r="AK2" s="363" t="s">
        <v>102</v>
      </c>
      <c r="AL2" s="55" t="s">
        <v>105</v>
      </c>
      <c r="AM2" s="55" t="s">
        <v>104</v>
      </c>
      <c r="AN2" s="55" t="s">
        <v>103</v>
      </c>
      <c r="AO2" s="55" t="s">
        <v>109</v>
      </c>
      <c r="AP2" s="55" t="s">
        <v>106</v>
      </c>
      <c r="AQ2" s="55" t="s">
        <v>107</v>
      </c>
      <c r="AR2" s="55" t="s">
        <v>108</v>
      </c>
      <c r="AS2" s="55" t="s">
        <v>110</v>
      </c>
      <c r="AT2" s="55" t="s">
        <v>111</v>
      </c>
      <c r="AU2" s="55" t="s">
        <v>113</v>
      </c>
      <c r="AV2" s="55" t="s">
        <v>112</v>
      </c>
      <c r="AW2" s="55" t="s">
        <v>114</v>
      </c>
      <c r="AX2" s="55" t="s">
        <v>100</v>
      </c>
      <c r="AY2" s="55" t="s">
        <v>99</v>
      </c>
      <c r="AZ2" s="55" t="s">
        <v>395</v>
      </c>
      <c r="BA2" s="55" t="s">
        <v>115</v>
      </c>
      <c r="BB2" s="55" t="s">
        <v>116</v>
      </c>
      <c r="BC2" s="55" t="s">
        <v>118</v>
      </c>
      <c r="BD2" s="55" t="s">
        <v>117</v>
      </c>
      <c r="BF2" s="55" t="s">
        <v>119</v>
      </c>
      <c r="BG2" s="55"/>
      <c r="BH2" s="55" t="s">
        <v>120</v>
      </c>
      <c r="BI2" s="55" t="s">
        <v>121</v>
      </c>
    </row>
    <row r="3" spans="1:61" s="18" customFormat="1" ht="15" customHeight="1">
      <c r="A3" s="7"/>
      <c r="B3" s="71"/>
      <c r="C3" s="62" t="s">
        <v>375</v>
      </c>
      <c r="D3" s="62" t="s">
        <v>375</v>
      </c>
      <c r="E3" s="55" t="s">
        <v>125</v>
      </c>
      <c r="F3" s="61"/>
      <c r="G3" s="61"/>
      <c r="H3" s="363" t="s">
        <v>99</v>
      </c>
      <c r="I3" s="363"/>
      <c r="J3" s="55" t="s">
        <v>377</v>
      </c>
      <c r="K3" s="55" t="s">
        <v>99</v>
      </c>
      <c r="L3" s="55" t="s">
        <v>124</v>
      </c>
      <c r="M3" s="55"/>
      <c r="N3" s="61"/>
      <c r="O3" s="363" t="s">
        <v>125</v>
      </c>
      <c r="P3" s="363" t="s">
        <v>125</v>
      </c>
      <c r="Q3" s="363" t="s">
        <v>99</v>
      </c>
      <c r="R3" s="363" t="s">
        <v>99</v>
      </c>
      <c r="S3" s="55" t="s">
        <v>57</v>
      </c>
      <c r="T3" s="55" t="s">
        <v>123</v>
      </c>
      <c r="U3" s="55" t="s">
        <v>126</v>
      </c>
      <c r="V3" s="55" t="s">
        <v>128</v>
      </c>
      <c r="W3" s="55" t="s">
        <v>130</v>
      </c>
      <c r="X3" s="55" t="s">
        <v>127</v>
      </c>
      <c r="Y3" s="55" t="s">
        <v>378</v>
      </c>
      <c r="Z3" s="55" t="s">
        <v>57</v>
      </c>
      <c r="AA3" s="363" t="s">
        <v>139</v>
      </c>
      <c r="AB3" s="363" t="s">
        <v>139</v>
      </c>
      <c r="AC3" s="55" t="s">
        <v>377</v>
      </c>
      <c r="AD3" s="55" t="s">
        <v>134</v>
      </c>
      <c r="AE3" s="55" t="s">
        <v>99</v>
      </c>
      <c r="AF3" s="55" t="s">
        <v>131</v>
      </c>
      <c r="AG3" s="55" t="s">
        <v>132</v>
      </c>
      <c r="AH3" s="55"/>
      <c r="AI3" s="55" t="s">
        <v>136</v>
      </c>
      <c r="AJ3" s="363" t="s">
        <v>379</v>
      </c>
      <c r="AK3" s="363" t="s">
        <v>379</v>
      </c>
      <c r="AL3" s="55"/>
      <c r="AM3" s="55" t="s">
        <v>138</v>
      </c>
      <c r="AN3" s="55" t="s">
        <v>137</v>
      </c>
      <c r="AO3" s="55" t="s">
        <v>137</v>
      </c>
      <c r="AP3" s="55" t="s">
        <v>372</v>
      </c>
      <c r="AQ3" s="55" t="s">
        <v>140</v>
      </c>
      <c r="AR3" s="55" t="s">
        <v>141</v>
      </c>
      <c r="AS3" s="55" t="s">
        <v>143</v>
      </c>
      <c r="AT3" s="55" t="s">
        <v>144</v>
      </c>
      <c r="AU3" s="55" t="s">
        <v>145</v>
      </c>
      <c r="AV3" s="55" t="s">
        <v>101</v>
      </c>
      <c r="AW3" s="55" t="s">
        <v>146</v>
      </c>
      <c r="AX3" s="55" t="s">
        <v>147</v>
      </c>
      <c r="AY3" s="55" t="s">
        <v>148</v>
      </c>
      <c r="AZ3" s="55" t="s">
        <v>394</v>
      </c>
      <c r="BA3" s="55" t="s">
        <v>149</v>
      </c>
      <c r="BB3" s="55" t="s">
        <v>150</v>
      </c>
      <c r="BC3" s="55" t="s">
        <v>152</v>
      </c>
      <c r="BD3" s="55" t="s">
        <v>151</v>
      </c>
      <c r="BF3" s="55" t="s">
        <v>153</v>
      </c>
      <c r="BG3" s="55"/>
      <c r="BH3" s="55" t="s">
        <v>154</v>
      </c>
      <c r="BI3" s="55" t="s">
        <v>154</v>
      </c>
    </row>
    <row r="4" spans="1:61" s="59" customFormat="1" ht="15" customHeight="1">
      <c r="A4" s="14"/>
      <c r="B4" s="71"/>
      <c r="C4" s="362" t="s">
        <v>362</v>
      </c>
      <c r="D4" s="362"/>
      <c r="E4" s="150" t="s">
        <v>155</v>
      </c>
      <c r="F4" s="150" t="s">
        <v>159</v>
      </c>
      <c r="G4" s="150" t="s">
        <v>160</v>
      </c>
      <c r="H4" s="361" t="s">
        <v>163</v>
      </c>
      <c r="I4" s="361"/>
      <c r="J4" s="150" t="s">
        <v>164</v>
      </c>
      <c r="K4" s="150" t="s">
        <v>165</v>
      </c>
      <c r="L4" s="150" t="s">
        <v>166</v>
      </c>
      <c r="M4" s="150" t="s">
        <v>167</v>
      </c>
      <c r="N4" s="150" t="s">
        <v>168</v>
      </c>
      <c r="O4" s="361" t="s">
        <v>169</v>
      </c>
      <c r="P4" s="361"/>
      <c r="Q4" s="361" t="s">
        <v>170</v>
      </c>
      <c r="R4" s="361" t="s">
        <v>169</v>
      </c>
      <c r="S4" s="150" t="s">
        <v>171</v>
      </c>
      <c r="T4" s="150" t="s">
        <v>172</v>
      </c>
      <c r="U4" s="150" t="s">
        <v>173</v>
      </c>
      <c r="V4" s="150" t="s">
        <v>174</v>
      </c>
      <c r="W4" s="150" t="s">
        <v>175</v>
      </c>
      <c r="X4" s="150" t="s">
        <v>176</v>
      </c>
      <c r="Y4" s="150" t="s">
        <v>177</v>
      </c>
      <c r="Z4" s="150" t="s">
        <v>178</v>
      </c>
      <c r="AA4" s="359" t="s">
        <v>179</v>
      </c>
      <c r="AB4" s="359" t="s">
        <v>185</v>
      </c>
      <c r="AC4" s="150" t="s">
        <v>180</v>
      </c>
      <c r="AD4" s="150" t="s">
        <v>477</v>
      </c>
      <c r="AE4" s="150" t="s">
        <v>181</v>
      </c>
      <c r="AF4" s="150" t="s">
        <v>182</v>
      </c>
      <c r="AG4" s="150" t="s">
        <v>183</v>
      </c>
      <c r="AH4" s="150" t="s">
        <v>184</v>
      </c>
      <c r="AI4" s="150" t="s">
        <v>185</v>
      </c>
      <c r="AJ4" s="359" t="s">
        <v>186</v>
      </c>
      <c r="AK4" s="360"/>
      <c r="AL4" s="150" t="s">
        <v>187</v>
      </c>
      <c r="AM4" s="150" t="s">
        <v>188</v>
      </c>
      <c r="AN4" s="150" t="s">
        <v>189</v>
      </c>
      <c r="AO4" s="150" t="s">
        <v>192</v>
      </c>
      <c r="AP4" s="150" t="s">
        <v>193</v>
      </c>
      <c r="AQ4" s="150" t="s">
        <v>194</v>
      </c>
      <c r="AR4" s="150" t="s">
        <v>195</v>
      </c>
      <c r="AS4" s="150" t="s">
        <v>196</v>
      </c>
      <c r="AT4" s="150" t="s">
        <v>198</v>
      </c>
      <c r="AU4" s="150" t="s">
        <v>199</v>
      </c>
      <c r="AV4" s="150" t="s">
        <v>200</v>
      </c>
      <c r="AW4" s="150" t="s">
        <v>201</v>
      </c>
      <c r="AX4" s="150" t="s">
        <v>202</v>
      </c>
      <c r="AY4" s="150" t="s">
        <v>203</v>
      </c>
      <c r="AZ4" s="150" t="s">
        <v>204</v>
      </c>
      <c r="BA4" s="150" t="s">
        <v>205</v>
      </c>
      <c r="BB4" s="150" t="s">
        <v>206</v>
      </c>
      <c r="BC4" s="150" t="s">
        <v>207</v>
      </c>
      <c r="BD4" s="150" t="s">
        <v>208</v>
      </c>
      <c r="BF4" s="55"/>
      <c r="BG4" s="55"/>
      <c r="BH4" s="55"/>
      <c r="BI4" s="55"/>
    </row>
    <row r="5" spans="1:61" s="243" customFormat="1" ht="15" customHeight="1">
      <c r="A5" s="240"/>
      <c r="B5" s="241"/>
      <c r="C5" s="240" t="s">
        <v>156</v>
      </c>
      <c r="D5" s="240" t="s">
        <v>157</v>
      </c>
      <c r="E5" s="240"/>
      <c r="F5" s="240"/>
      <c r="G5" s="240"/>
      <c r="H5" s="240" t="s">
        <v>161</v>
      </c>
      <c r="I5" s="240" t="s">
        <v>162</v>
      </c>
      <c r="J5" s="240"/>
      <c r="K5" s="240"/>
      <c r="L5" s="240"/>
      <c r="M5" s="240"/>
      <c r="N5" s="240"/>
      <c r="O5" s="240" t="s">
        <v>60</v>
      </c>
      <c r="P5" s="240" t="s">
        <v>161</v>
      </c>
      <c r="Q5" s="240" t="s">
        <v>161</v>
      </c>
      <c r="R5" s="240" t="s">
        <v>61</v>
      </c>
      <c r="S5" s="240"/>
      <c r="T5" s="240" t="s">
        <v>351</v>
      </c>
      <c r="U5" s="240" t="s">
        <v>351</v>
      </c>
      <c r="V5" s="240"/>
      <c r="W5" s="240"/>
      <c r="X5" s="240"/>
      <c r="Y5" s="240"/>
      <c r="Z5" s="240"/>
      <c r="AA5" s="240" t="s">
        <v>157</v>
      </c>
      <c r="AB5" s="240" t="s">
        <v>197</v>
      </c>
      <c r="AC5" s="240"/>
      <c r="AD5" s="240"/>
      <c r="AE5" s="240"/>
      <c r="AF5" s="240"/>
      <c r="AG5" s="240"/>
      <c r="AH5" s="240"/>
      <c r="AI5" s="240"/>
      <c r="AJ5" s="240" t="s">
        <v>190</v>
      </c>
      <c r="AK5" s="240" t="s">
        <v>191</v>
      </c>
      <c r="AL5" s="240"/>
      <c r="AM5" s="240"/>
      <c r="AN5" s="240"/>
      <c r="AO5" s="240"/>
      <c r="AP5" s="242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F5" s="22" t="s">
        <v>532</v>
      </c>
      <c r="BG5" s="22"/>
      <c r="BH5" s="22" t="s">
        <v>530</v>
      </c>
      <c r="BI5" s="22" t="s">
        <v>531</v>
      </c>
    </row>
    <row r="6" spans="1:61" s="243" customFormat="1" ht="15" customHeight="1">
      <c r="A6" s="244"/>
      <c r="B6" s="245"/>
      <c r="C6" s="242"/>
      <c r="D6" s="242"/>
      <c r="E6" s="240"/>
      <c r="F6" s="240"/>
      <c r="G6" s="240"/>
      <c r="H6" s="240"/>
      <c r="I6" s="240" t="s">
        <v>158</v>
      </c>
      <c r="J6" s="240"/>
      <c r="K6" s="240"/>
      <c r="L6" s="240"/>
      <c r="M6" s="240"/>
      <c r="N6" s="240"/>
      <c r="O6" s="240" t="s">
        <v>158</v>
      </c>
      <c r="P6" s="240"/>
      <c r="Q6" s="240"/>
      <c r="R6" s="240" t="s">
        <v>158</v>
      </c>
      <c r="S6" s="240"/>
      <c r="T6" s="240" t="s">
        <v>158</v>
      </c>
      <c r="U6" s="240" t="s">
        <v>390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F6" s="242"/>
      <c r="BG6" s="242"/>
      <c r="BH6" s="242"/>
      <c r="BI6" s="242"/>
    </row>
    <row r="7" spans="1:61" ht="12.75">
      <c r="A7" s="7" t="s">
        <v>435</v>
      </c>
      <c r="B7" s="71">
        <v>1</v>
      </c>
      <c r="C7" s="53">
        <f aca="true" t="shared" si="0" ref="C7:L7">+C62</f>
        <v>0.09390120527739687</v>
      </c>
      <c r="D7" s="53">
        <f t="shared" si="0"/>
        <v>0.09156929490026977</v>
      </c>
      <c r="E7" s="53">
        <f t="shared" si="0"/>
        <v>0.11964826388285887</v>
      </c>
      <c r="F7" s="53">
        <f t="shared" si="0"/>
        <v>0.13620921415232856</v>
      </c>
      <c r="G7" s="53">
        <f t="shared" si="0"/>
        <v>0.1625621299891047</v>
      </c>
      <c r="H7" s="75">
        <f t="shared" si="0"/>
        <v>0.06740074813467323</v>
      </c>
      <c r="I7" s="75">
        <f t="shared" si="0"/>
        <v>0.06731342991761502</v>
      </c>
      <c r="J7" s="75">
        <f t="shared" si="0"/>
        <v>0.13330671844634878</v>
      </c>
      <c r="K7" s="342">
        <v>0.093</v>
      </c>
      <c r="L7" s="75">
        <f t="shared" si="0"/>
        <v>0.10094932490061082</v>
      </c>
      <c r="M7" s="338">
        <v>0.079</v>
      </c>
      <c r="N7" s="75">
        <f aca="true" t="shared" si="1" ref="N7:U7">+N62</f>
        <v>0.08795993096301302</v>
      </c>
      <c r="O7" s="75">
        <f t="shared" si="1"/>
        <v>0.07998349271043947</v>
      </c>
      <c r="P7" s="75">
        <f t="shared" si="1"/>
        <v>0.10209863444603573</v>
      </c>
      <c r="Q7" s="75">
        <f t="shared" si="1"/>
        <v>0.1555110147107479</v>
      </c>
      <c r="R7" s="75">
        <f t="shared" si="1"/>
        <v>0.1468732683278473</v>
      </c>
      <c r="S7" s="75">
        <f t="shared" si="1"/>
        <v>0.12414823769785199</v>
      </c>
      <c r="T7" s="53">
        <f t="shared" si="1"/>
        <v>0.08510248821451927</v>
      </c>
      <c r="U7" s="53">
        <f t="shared" si="1"/>
        <v>0.12291442470172509</v>
      </c>
      <c r="V7" s="53">
        <f aca="true" t="shared" si="2" ref="V7:AD7">+V62</f>
        <v>0.0626005857561791</v>
      </c>
      <c r="W7" s="53">
        <f t="shared" si="2"/>
        <v>0.09369967288188241</v>
      </c>
      <c r="X7" s="53">
        <f t="shared" si="2"/>
        <v>0.0594904208017768</v>
      </c>
      <c r="Y7" s="53">
        <f t="shared" si="2"/>
        <v>0.1116598399735933</v>
      </c>
      <c r="Z7" s="53">
        <f t="shared" si="2"/>
        <v>0.07129693174305274</v>
      </c>
      <c r="AA7" s="338">
        <v>0.051</v>
      </c>
      <c r="AB7" s="338">
        <v>0.048</v>
      </c>
      <c r="AC7" s="53">
        <f t="shared" si="2"/>
        <v>0.1096736377376224</v>
      </c>
      <c r="AD7" s="53">
        <f t="shared" si="2"/>
        <v>0.034712578318266685</v>
      </c>
      <c r="AE7" s="338">
        <v>0.06</v>
      </c>
      <c r="AF7" s="53">
        <f>+AF62</f>
        <v>0.05951595595330139</v>
      </c>
      <c r="AG7" s="53">
        <f aca="true" t="shared" si="3" ref="AG7:BD7">+AG62</f>
        <v>0.1901322654798565</v>
      </c>
      <c r="AH7" s="53">
        <f t="shared" si="3"/>
        <v>0.06553904568223379</v>
      </c>
      <c r="AI7" s="53">
        <f t="shared" si="3"/>
        <v>0.0913955270636233</v>
      </c>
      <c r="AJ7" s="53">
        <f t="shared" si="3"/>
        <v>0.16496323941320545</v>
      </c>
      <c r="AK7" s="53">
        <f t="shared" si="3"/>
        <v>0.08092190603241911</v>
      </c>
      <c r="AL7" s="53">
        <f t="shared" si="3"/>
        <v>0.04807541253273695</v>
      </c>
      <c r="AM7" s="53">
        <f t="shared" si="3"/>
        <v>0.056305431619960045</v>
      </c>
      <c r="AN7" s="53">
        <f t="shared" si="3"/>
        <v>0.08104983906706109</v>
      </c>
      <c r="AO7" s="53">
        <f t="shared" si="3"/>
        <v>0.07506237824038631</v>
      </c>
      <c r="AP7" s="53">
        <f t="shared" si="3"/>
        <v>0.05406645889739825</v>
      </c>
      <c r="AQ7" s="53">
        <f t="shared" si="3"/>
        <v>0.05602091160854328</v>
      </c>
      <c r="AR7" s="53">
        <f t="shared" si="3"/>
        <v>0.0888056426154018</v>
      </c>
      <c r="AS7" s="53">
        <f t="shared" si="3"/>
        <v>0.10607136959364749</v>
      </c>
      <c r="AT7" s="53">
        <f t="shared" si="3"/>
        <v>0.08910361243550269</v>
      </c>
      <c r="AU7" s="53">
        <f t="shared" si="3"/>
        <v>0.07783828862891573</v>
      </c>
      <c r="AV7" s="53">
        <f t="shared" si="3"/>
        <v>0.05952773018131574</v>
      </c>
      <c r="AW7" s="53">
        <f t="shared" si="3"/>
        <v>0.06421941857179281</v>
      </c>
      <c r="AX7" s="53">
        <f t="shared" si="3"/>
        <v>0.07087055352408766</v>
      </c>
      <c r="AY7" s="53">
        <f t="shared" si="3"/>
        <v>0.06234031281038055</v>
      </c>
      <c r="AZ7" s="53">
        <f t="shared" si="3"/>
        <v>0.06666262469437734</v>
      </c>
      <c r="BA7" s="53">
        <f t="shared" si="3"/>
        <v>0.0636277826789109</v>
      </c>
      <c r="BB7" s="53">
        <f t="shared" si="3"/>
        <v>0.010348454097932391</v>
      </c>
      <c r="BC7" s="53">
        <f t="shared" si="3"/>
        <v>0.013369874328871045</v>
      </c>
      <c r="BD7" s="75">
        <f t="shared" si="3"/>
        <v>2.1504822374585717</v>
      </c>
      <c r="BF7" s="40">
        <f>+BF62</f>
        <v>0.10580158560636344</v>
      </c>
      <c r="BG7" s="40"/>
      <c r="BH7" s="40">
        <f>+BH62</f>
        <v>0.08859914299193883</v>
      </c>
      <c r="BI7" s="40">
        <f>+BI62</f>
        <v>0.10973744492225701</v>
      </c>
    </row>
    <row r="8" spans="1:61" ht="12.75">
      <c r="A8" s="10" t="s">
        <v>508</v>
      </c>
      <c r="B8" s="71">
        <v>2</v>
      </c>
      <c r="C8" s="25">
        <v>0.043</v>
      </c>
      <c r="D8" s="54">
        <v>0.022</v>
      </c>
      <c r="E8" s="25">
        <v>0.041</v>
      </c>
      <c r="F8" s="25">
        <v>0.0439</v>
      </c>
      <c r="G8" s="25">
        <v>0.057</v>
      </c>
      <c r="H8" s="25">
        <v>-0.001</v>
      </c>
      <c r="I8" s="25">
        <v>-0.001</v>
      </c>
      <c r="J8" s="25">
        <v>0.0292</v>
      </c>
      <c r="K8" s="183" t="s">
        <v>554</v>
      </c>
      <c r="L8" s="25">
        <v>0.046</v>
      </c>
      <c r="M8" s="25">
        <v>0.019</v>
      </c>
      <c r="N8" s="25">
        <v>0.019</v>
      </c>
      <c r="O8" s="180">
        <v>0.026</v>
      </c>
      <c r="P8" s="23">
        <v>0.033</v>
      </c>
      <c r="Q8" s="364">
        <v>0.061</v>
      </c>
      <c r="R8" s="364"/>
      <c r="S8" s="25">
        <v>0.027</v>
      </c>
      <c r="T8" s="25">
        <v>-0.015</v>
      </c>
      <c r="U8" s="139">
        <v>0.0154</v>
      </c>
      <c r="V8" s="23">
        <v>-0.019</v>
      </c>
      <c r="W8" s="183">
        <v>0.036</v>
      </c>
      <c r="X8" s="25">
        <v>0.0042</v>
      </c>
      <c r="Y8" s="25">
        <v>0.036</v>
      </c>
      <c r="Z8" s="131">
        <v>0.0133</v>
      </c>
      <c r="AA8" s="23">
        <v>-0.003</v>
      </c>
      <c r="AB8" s="23">
        <v>-0.001</v>
      </c>
      <c r="AC8" s="25">
        <v>0.033</v>
      </c>
      <c r="AD8" s="25">
        <v>0.037</v>
      </c>
      <c r="AE8" s="23">
        <v>0.0219</v>
      </c>
      <c r="AF8" s="25">
        <v>0.0378</v>
      </c>
      <c r="AG8" s="25">
        <v>0.0635</v>
      </c>
      <c r="AH8" s="25">
        <v>0.007</v>
      </c>
      <c r="AI8" s="52">
        <v>2.17</v>
      </c>
      <c r="AJ8" s="23">
        <v>0.0378</v>
      </c>
      <c r="AK8" s="23">
        <v>0.0265</v>
      </c>
      <c r="AL8" s="25">
        <v>0.044</v>
      </c>
      <c r="AM8" s="25">
        <v>-0.059</v>
      </c>
      <c r="AN8" s="25">
        <v>0.046</v>
      </c>
      <c r="AO8" s="183">
        <v>0.02</v>
      </c>
      <c r="AP8" s="25">
        <v>0.02</v>
      </c>
      <c r="AQ8" s="25">
        <v>0.03</v>
      </c>
      <c r="AR8" s="25">
        <v>0.0568</v>
      </c>
      <c r="AS8" s="25">
        <v>0.0394</v>
      </c>
      <c r="AT8" s="25">
        <v>0.055</v>
      </c>
      <c r="AU8" s="25">
        <v>0.059</v>
      </c>
      <c r="AV8" s="25">
        <v>0.01</v>
      </c>
      <c r="AW8" s="25">
        <v>0.016</v>
      </c>
      <c r="AX8" s="25">
        <v>0.05</v>
      </c>
      <c r="AY8" s="25">
        <v>0.0679</v>
      </c>
      <c r="AZ8" s="25">
        <v>0.048</v>
      </c>
      <c r="BA8" s="25">
        <v>0.035</v>
      </c>
      <c r="BB8" s="25">
        <v>0.023</v>
      </c>
      <c r="BC8" s="23"/>
      <c r="BD8" s="23">
        <v>0.0207</v>
      </c>
      <c r="BF8" s="25"/>
      <c r="BG8" s="25"/>
      <c r="BH8" s="5"/>
      <c r="BI8" s="5"/>
    </row>
    <row r="9" spans="1:61" ht="20.25" customHeight="1">
      <c r="A9" s="72" t="s">
        <v>210</v>
      </c>
      <c r="B9" s="234"/>
      <c r="C9" s="27">
        <v>36.9</v>
      </c>
      <c r="D9" s="27">
        <v>46.7</v>
      </c>
      <c r="E9" s="27">
        <v>40.9</v>
      </c>
      <c r="F9" s="27">
        <v>37.8</v>
      </c>
      <c r="G9" s="27">
        <v>34.2</v>
      </c>
      <c r="H9" s="27">
        <v>39.3</v>
      </c>
      <c r="I9" s="27">
        <v>39.3</v>
      </c>
      <c r="J9" s="27">
        <v>39</v>
      </c>
      <c r="K9" s="28">
        <v>43</v>
      </c>
      <c r="L9" s="27">
        <v>33.9</v>
      </c>
      <c r="M9" s="28">
        <v>84.9</v>
      </c>
      <c r="N9" s="27">
        <v>29</v>
      </c>
      <c r="O9" s="28">
        <v>52</v>
      </c>
      <c r="P9" s="28">
        <v>43.7</v>
      </c>
      <c r="Q9" s="28">
        <v>31.4</v>
      </c>
      <c r="R9" s="28">
        <v>31.4</v>
      </c>
      <c r="S9" s="27">
        <v>71</v>
      </c>
      <c r="T9" s="27">
        <v>61.5</v>
      </c>
      <c r="U9" s="27">
        <v>47.6</v>
      </c>
      <c r="V9" s="28">
        <v>36.43</v>
      </c>
      <c r="W9" s="27">
        <v>40.4</v>
      </c>
      <c r="X9" s="28">
        <v>34.03</v>
      </c>
      <c r="Y9" s="27">
        <v>42.6</v>
      </c>
      <c r="Z9" s="27">
        <v>71.82</v>
      </c>
      <c r="AA9" s="28">
        <v>43.1</v>
      </c>
      <c r="AB9" s="28">
        <v>43.1</v>
      </c>
      <c r="AC9" s="27">
        <v>25.1</v>
      </c>
      <c r="AD9" s="27">
        <v>14.5</v>
      </c>
      <c r="AE9" s="28">
        <v>96.97</v>
      </c>
      <c r="AF9" s="27">
        <v>62.73</v>
      </c>
      <c r="AG9" s="27">
        <v>20.42</v>
      </c>
      <c r="AH9" s="27">
        <v>62.6</v>
      </c>
      <c r="AI9" s="280">
        <v>85.4</v>
      </c>
      <c r="AJ9" s="27">
        <v>39.1</v>
      </c>
      <c r="AK9" s="27">
        <v>2.1</v>
      </c>
      <c r="AL9" s="27">
        <v>45.9</v>
      </c>
      <c r="AM9" s="27">
        <v>46</v>
      </c>
      <c r="AN9" s="27">
        <v>65.75</v>
      </c>
      <c r="AO9" s="27">
        <v>93.86</v>
      </c>
      <c r="AP9" s="27">
        <v>61.6</v>
      </c>
      <c r="AQ9" s="27">
        <v>23.6</v>
      </c>
      <c r="AR9" s="27">
        <v>89.5</v>
      </c>
      <c r="AS9" s="27">
        <v>48</v>
      </c>
      <c r="AT9" s="27">
        <v>79.09</v>
      </c>
      <c r="AU9" s="27">
        <v>72.8</v>
      </c>
      <c r="AV9" s="27">
        <v>0.5</v>
      </c>
      <c r="AW9" s="27">
        <v>53.3</v>
      </c>
      <c r="AX9" s="27">
        <v>92.4</v>
      </c>
      <c r="AY9" s="27">
        <v>0</v>
      </c>
      <c r="AZ9" s="27">
        <v>51.3</v>
      </c>
      <c r="BA9" s="27">
        <v>48.3</v>
      </c>
      <c r="BB9" s="27">
        <v>0</v>
      </c>
      <c r="BC9" s="28"/>
      <c r="BD9" s="28">
        <v>0</v>
      </c>
      <c r="BF9" s="40">
        <f aca="true" t="shared" si="4" ref="BF9:BF14">+BF78/$BF$84</f>
        <v>0.41559686821042163</v>
      </c>
      <c r="BG9" s="37"/>
      <c r="BH9" s="40">
        <f aca="true" t="shared" si="5" ref="BH9:BH14">+BH78/$BH$84</f>
        <v>0.37927039681145913</v>
      </c>
      <c r="BI9" s="40">
        <f aca="true" t="shared" si="6" ref="BI9:BI14">+BI78/$BI$84</f>
        <v>0.42374495304779297</v>
      </c>
    </row>
    <row r="10" spans="1:61" ht="12.75">
      <c r="A10" s="10" t="s">
        <v>211</v>
      </c>
      <c r="B10" s="71"/>
      <c r="C10" s="27">
        <v>44.9</v>
      </c>
      <c r="D10" s="27">
        <v>33.2</v>
      </c>
      <c r="E10" s="27">
        <v>36.1</v>
      </c>
      <c r="F10" s="27">
        <v>45.3</v>
      </c>
      <c r="G10" s="27">
        <v>51.2</v>
      </c>
      <c r="H10" s="27">
        <v>0.2</v>
      </c>
      <c r="I10" s="27">
        <v>0.2</v>
      </c>
      <c r="J10" s="27">
        <v>50</v>
      </c>
      <c r="K10" s="28">
        <v>47.6</v>
      </c>
      <c r="L10" s="27">
        <v>61</v>
      </c>
      <c r="M10" s="28">
        <v>7.9</v>
      </c>
      <c r="N10" s="27">
        <v>39.7</v>
      </c>
      <c r="O10" s="28">
        <v>31.5</v>
      </c>
      <c r="P10" s="28">
        <v>35.9</v>
      </c>
      <c r="Q10" s="28">
        <v>50.4</v>
      </c>
      <c r="R10" s="28">
        <v>50.4</v>
      </c>
      <c r="S10" s="27">
        <v>15.2</v>
      </c>
      <c r="T10" s="27">
        <v>20.6</v>
      </c>
      <c r="U10" s="27">
        <v>44</v>
      </c>
      <c r="V10" s="28">
        <v>37.73</v>
      </c>
      <c r="W10" s="27">
        <v>44.2</v>
      </c>
      <c r="X10" s="28">
        <v>48.89</v>
      </c>
      <c r="Y10" s="27">
        <v>48.3</v>
      </c>
      <c r="Z10" s="27">
        <v>12.63</v>
      </c>
      <c r="AA10" s="28">
        <v>30.6</v>
      </c>
      <c r="AB10" s="28">
        <v>30.6</v>
      </c>
      <c r="AC10" s="27">
        <v>65.9</v>
      </c>
      <c r="AD10" s="27">
        <v>57.8</v>
      </c>
      <c r="AE10" s="28">
        <v>1.41</v>
      </c>
      <c r="AF10" s="27">
        <v>23.03</v>
      </c>
      <c r="AG10" s="27">
        <v>57.54</v>
      </c>
      <c r="AH10" s="27">
        <v>21.1</v>
      </c>
      <c r="AI10" s="280">
        <v>9.7</v>
      </c>
      <c r="AJ10" s="27">
        <v>53.9</v>
      </c>
      <c r="AK10" s="27">
        <v>58.2</v>
      </c>
      <c r="AL10" s="27">
        <v>13.2</v>
      </c>
      <c r="AM10" s="27">
        <v>29.2</v>
      </c>
      <c r="AN10" s="27">
        <v>30.09</v>
      </c>
      <c r="AO10" s="27">
        <v>0</v>
      </c>
      <c r="AP10" s="27">
        <v>1.8</v>
      </c>
      <c r="AQ10" s="27">
        <v>55.7</v>
      </c>
      <c r="AR10" s="27">
        <v>6.4</v>
      </c>
      <c r="AS10" s="27">
        <v>43</v>
      </c>
      <c r="AT10" s="27">
        <v>3.56</v>
      </c>
      <c r="AU10" s="27">
        <v>17.9</v>
      </c>
      <c r="AV10" s="27">
        <v>13.5</v>
      </c>
      <c r="AW10" s="27">
        <v>19.4</v>
      </c>
      <c r="AX10" s="27">
        <v>7.4</v>
      </c>
      <c r="AY10" s="27">
        <v>94.1</v>
      </c>
      <c r="AZ10" s="27">
        <v>28</v>
      </c>
      <c r="BA10" s="27">
        <v>30.7</v>
      </c>
      <c r="BB10" s="27">
        <v>0</v>
      </c>
      <c r="BC10" s="28"/>
      <c r="BD10" s="28">
        <v>0</v>
      </c>
      <c r="BF10" s="40">
        <f t="shared" si="4"/>
        <v>0.3850883518783054</v>
      </c>
      <c r="BG10" s="37"/>
      <c r="BH10" s="40">
        <f t="shared" si="5"/>
        <v>0.4381182140192467</v>
      </c>
      <c r="BI10" s="40">
        <f t="shared" si="6"/>
        <v>0.37319367014902405</v>
      </c>
    </row>
    <row r="11" spans="1:61" ht="12.75">
      <c r="A11" s="10" t="s">
        <v>212</v>
      </c>
      <c r="B11" s="71"/>
      <c r="C11" s="27">
        <v>0.3</v>
      </c>
      <c r="D11" s="27">
        <v>0.3</v>
      </c>
      <c r="E11" s="27">
        <v>0</v>
      </c>
      <c r="F11" s="27">
        <v>2.2</v>
      </c>
      <c r="G11" s="27">
        <v>0.5</v>
      </c>
      <c r="H11" s="27">
        <v>41.9</v>
      </c>
      <c r="I11" s="27">
        <v>41.9</v>
      </c>
      <c r="J11" s="27">
        <v>1</v>
      </c>
      <c r="K11" s="28">
        <v>6.4</v>
      </c>
      <c r="L11" s="27">
        <v>0.01</v>
      </c>
      <c r="M11" s="28">
        <v>0</v>
      </c>
      <c r="N11" s="27">
        <v>0.2</v>
      </c>
      <c r="O11" s="28">
        <v>0</v>
      </c>
      <c r="P11" s="28">
        <v>0.2</v>
      </c>
      <c r="Q11" s="28">
        <v>3.5</v>
      </c>
      <c r="R11" s="28">
        <v>3.5</v>
      </c>
      <c r="S11" s="27">
        <v>0.4</v>
      </c>
      <c r="T11" s="27">
        <v>0.7</v>
      </c>
      <c r="U11" s="27">
        <v>0.5</v>
      </c>
      <c r="V11" s="28">
        <v>0.05</v>
      </c>
      <c r="W11" s="27">
        <v>0.3</v>
      </c>
      <c r="X11" s="28">
        <v>4.17</v>
      </c>
      <c r="Y11" s="27">
        <v>0.2</v>
      </c>
      <c r="Z11" s="27">
        <v>0.09</v>
      </c>
      <c r="AA11" s="28">
        <v>0.7</v>
      </c>
      <c r="AB11" s="28">
        <v>0.7</v>
      </c>
      <c r="AC11" s="27">
        <v>0.3</v>
      </c>
      <c r="AD11" s="27">
        <v>0.4</v>
      </c>
      <c r="AE11" s="28">
        <v>0.81</v>
      </c>
      <c r="AF11" s="27">
        <v>0.81</v>
      </c>
      <c r="AG11" s="27">
        <v>0.11</v>
      </c>
      <c r="AH11" s="27">
        <v>1.1</v>
      </c>
      <c r="AI11" s="280">
        <v>0</v>
      </c>
      <c r="AJ11" s="27">
        <v>0</v>
      </c>
      <c r="AK11" s="27">
        <v>0</v>
      </c>
      <c r="AL11" s="27">
        <v>4.2</v>
      </c>
      <c r="AM11" s="27">
        <v>3.2</v>
      </c>
      <c r="AN11" s="27">
        <v>2.29</v>
      </c>
      <c r="AO11" s="27">
        <v>6.14</v>
      </c>
      <c r="AP11" s="27">
        <v>4.6</v>
      </c>
      <c r="AQ11" s="27">
        <v>1.4</v>
      </c>
      <c r="AR11" s="27">
        <v>2.54</v>
      </c>
      <c r="AS11" s="27">
        <v>0</v>
      </c>
      <c r="AT11" s="27">
        <v>0</v>
      </c>
      <c r="AU11" s="27">
        <v>1.7</v>
      </c>
      <c r="AV11" s="27">
        <v>0.7</v>
      </c>
      <c r="AW11" s="27">
        <v>5.9</v>
      </c>
      <c r="AX11" s="27">
        <v>0</v>
      </c>
      <c r="AY11" s="27">
        <v>0</v>
      </c>
      <c r="AZ11" s="27">
        <v>0</v>
      </c>
      <c r="BA11" s="27">
        <v>0.8</v>
      </c>
      <c r="BB11" s="27">
        <v>0</v>
      </c>
      <c r="BC11" s="28"/>
      <c r="BD11" s="28">
        <v>60.4</v>
      </c>
      <c r="BF11" s="40">
        <f t="shared" si="4"/>
        <v>0.034164113411349034</v>
      </c>
      <c r="BG11" s="37"/>
      <c r="BH11" s="40">
        <f t="shared" si="5"/>
        <v>0.0037392936111276033</v>
      </c>
      <c r="BI11" s="40">
        <f t="shared" si="6"/>
        <v>0.04098844848566133</v>
      </c>
    </row>
    <row r="12" spans="1:61" ht="12.75">
      <c r="A12" s="10" t="s">
        <v>213</v>
      </c>
      <c r="B12" s="71"/>
      <c r="C12" s="27">
        <v>3.8</v>
      </c>
      <c r="D12" s="27">
        <v>3.8</v>
      </c>
      <c r="E12" s="27">
        <v>6.7</v>
      </c>
      <c r="F12" s="27">
        <v>5.5</v>
      </c>
      <c r="G12" s="27">
        <v>9.1</v>
      </c>
      <c r="H12" s="27">
        <v>1</v>
      </c>
      <c r="I12" s="27">
        <v>1</v>
      </c>
      <c r="J12" s="27">
        <v>1</v>
      </c>
      <c r="K12" s="28">
        <v>3.1</v>
      </c>
      <c r="L12" s="27">
        <v>1.8</v>
      </c>
      <c r="M12" s="28">
        <v>1.7</v>
      </c>
      <c r="N12" s="27">
        <v>6.6</v>
      </c>
      <c r="O12" s="28">
        <v>9.9</v>
      </c>
      <c r="P12" s="28">
        <v>5.2</v>
      </c>
      <c r="Q12" s="28">
        <v>2.6</v>
      </c>
      <c r="R12" s="28">
        <v>2.6</v>
      </c>
      <c r="S12" s="27">
        <v>2.5</v>
      </c>
      <c r="T12" s="27">
        <v>6.5</v>
      </c>
      <c r="U12" s="27">
        <v>4.5</v>
      </c>
      <c r="V12" s="28">
        <v>1.21</v>
      </c>
      <c r="W12" s="27">
        <v>4.7</v>
      </c>
      <c r="X12" s="28">
        <v>2.07</v>
      </c>
      <c r="Y12" s="27">
        <v>3</v>
      </c>
      <c r="Z12" s="27">
        <v>5.85</v>
      </c>
      <c r="AA12" s="28">
        <v>4.2</v>
      </c>
      <c r="AB12" s="28">
        <v>4.2</v>
      </c>
      <c r="AC12" s="27">
        <v>5.9</v>
      </c>
      <c r="AD12" s="27">
        <v>0.2</v>
      </c>
      <c r="AE12" s="28">
        <v>0.8</v>
      </c>
      <c r="AF12" s="27">
        <v>1.85</v>
      </c>
      <c r="AG12" s="27">
        <v>17.68</v>
      </c>
      <c r="AH12" s="27">
        <v>3.9</v>
      </c>
      <c r="AI12" s="280">
        <v>4.9</v>
      </c>
      <c r="AJ12" s="27">
        <v>4.3</v>
      </c>
      <c r="AK12" s="27">
        <v>37.3</v>
      </c>
      <c r="AL12" s="27">
        <v>36.6</v>
      </c>
      <c r="AM12" s="27">
        <v>5.6</v>
      </c>
      <c r="AN12" s="27">
        <v>0.72</v>
      </c>
      <c r="AO12" s="27">
        <v>0</v>
      </c>
      <c r="AP12" s="27">
        <v>4.3</v>
      </c>
      <c r="AQ12" s="27">
        <v>3</v>
      </c>
      <c r="AR12" s="27">
        <v>0.19</v>
      </c>
      <c r="AS12" s="27">
        <v>2</v>
      </c>
      <c r="AT12" s="27">
        <v>11.01</v>
      </c>
      <c r="AU12" s="27">
        <v>7.6</v>
      </c>
      <c r="AV12" s="27">
        <v>21</v>
      </c>
      <c r="AW12" s="27">
        <v>6.3</v>
      </c>
      <c r="AX12" s="27">
        <v>0.2</v>
      </c>
      <c r="AY12" s="27">
        <v>0</v>
      </c>
      <c r="AZ12" s="27">
        <v>10.3</v>
      </c>
      <c r="BA12" s="27">
        <v>3.1</v>
      </c>
      <c r="BB12" s="27">
        <v>37.6</v>
      </c>
      <c r="BC12" s="28"/>
      <c r="BD12" s="28">
        <v>14.8</v>
      </c>
      <c r="BF12" s="40">
        <f t="shared" si="4"/>
        <v>0.04874076326373113</v>
      </c>
      <c r="BG12" s="37"/>
      <c r="BH12" s="40">
        <f t="shared" si="5"/>
        <v>0.03843541148936457</v>
      </c>
      <c r="BI12" s="40">
        <f t="shared" si="6"/>
        <v>0.05105226992272616</v>
      </c>
    </row>
    <row r="13" spans="1:61" ht="12.75">
      <c r="A13" s="10" t="s">
        <v>214</v>
      </c>
      <c r="B13" s="71"/>
      <c r="C13" s="27">
        <v>14.1</v>
      </c>
      <c r="D13" s="27">
        <v>16</v>
      </c>
      <c r="E13" s="27">
        <v>16.3</v>
      </c>
      <c r="F13" s="27">
        <v>9.3</v>
      </c>
      <c r="G13" s="27">
        <v>5</v>
      </c>
      <c r="H13" s="27">
        <v>17.5</v>
      </c>
      <c r="I13" s="27">
        <v>17.5</v>
      </c>
      <c r="J13" s="27">
        <v>3</v>
      </c>
      <c r="K13" s="28">
        <v>0</v>
      </c>
      <c r="L13" s="27">
        <v>3.3</v>
      </c>
      <c r="M13" s="28">
        <v>5.5</v>
      </c>
      <c r="N13" s="27">
        <v>23.8</v>
      </c>
      <c r="O13" s="28">
        <v>6.6</v>
      </c>
      <c r="P13" s="28">
        <v>15</v>
      </c>
      <c r="Q13" s="28">
        <v>11</v>
      </c>
      <c r="R13" s="28">
        <v>11</v>
      </c>
      <c r="S13" s="27">
        <v>10.9</v>
      </c>
      <c r="T13" s="27">
        <v>5.6</v>
      </c>
      <c r="U13" s="27">
        <v>3.4</v>
      </c>
      <c r="V13" s="28">
        <v>22.95</v>
      </c>
      <c r="W13" s="27">
        <v>10.5</v>
      </c>
      <c r="X13" s="28">
        <v>7.71</v>
      </c>
      <c r="Y13" s="27">
        <v>0</v>
      </c>
      <c r="Z13" s="27">
        <v>5.43</v>
      </c>
      <c r="AA13" s="28">
        <v>14.4</v>
      </c>
      <c r="AB13" s="28">
        <v>14.4</v>
      </c>
      <c r="AC13" s="27">
        <v>0.1</v>
      </c>
      <c r="AD13" s="27">
        <v>27.1</v>
      </c>
      <c r="AE13" s="28">
        <v>0</v>
      </c>
      <c r="AF13" s="27">
        <v>11.58</v>
      </c>
      <c r="AG13" s="27">
        <v>4.25</v>
      </c>
      <c r="AH13" s="27">
        <v>9.3</v>
      </c>
      <c r="AI13" s="280">
        <v>0</v>
      </c>
      <c r="AJ13" s="27">
        <v>2.7</v>
      </c>
      <c r="AK13" s="27">
        <v>2.4</v>
      </c>
      <c r="AL13" s="27">
        <v>0.1</v>
      </c>
      <c r="AM13" s="27">
        <v>2.4</v>
      </c>
      <c r="AN13" s="27">
        <v>1.15</v>
      </c>
      <c r="AO13" s="27">
        <v>0</v>
      </c>
      <c r="AP13" s="27">
        <v>27.7</v>
      </c>
      <c r="AQ13" s="27">
        <v>16.3</v>
      </c>
      <c r="AR13" s="27">
        <v>1.37</v>
      </c>
      <c r="AS13" s="27">
        <v>7</v>
      </c>
      <c r="AT13" s="27">
        <v>6.34</v>
      </c>
      <c r="AU13" s="27">
        <v>0</v>
      </c>
      <c r="AV13" s="27">
        <v>4.4</v>
      </c>
      <c r="AW13" s="27">
        <v>15.1</v>
      </c>
      <c r="AX13" s="27">
        <v>0</v>
      </c>
      <c r="AY13" s="27">
        <v>5.9</v>
      </c>
      <c r="AZ13" s="27">
        <v>3.1</v>
      </c>
      <c r="BA13" s="27">
        <v>2.5</v>
      </c>
      <c r="BB13" s="27">
        <v>62.4</v>
      </c>
      <c r="BC13" s="28"/>
      <c r="BD13" s="28">
        <v>24.8</v>
      </c>
      <c r="BF13" s="40">
        <f t="shared" si="4"/>
        <v>0.11488878110529448</v>
      </c>
      <c r="BG13" s="37"/>
      <c r="BH13" s="40">
        <f t="shared" si="5"/>
        <v>0.14043668406880194</v>
      </c>
      <c r="BI13" s="40">
        <f t="shared" si="6"/>
        <v>0.10915834617046793</v>
      </c>
    </row>
    <row r="14" spans="1:61" ht="12.75">
      <c r="A14" s="10" t="s">
        <v>215</v>
      </c>
      <c r="B14" s="71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6</v>
      </c>
      <c r="K14" s="28">
        <v>0</v>
      </c>
      <c r="L14" s="27">
        <v>0</v>
      </c>
      <c r="M14" s="28">
        <v>0</v>
      </c>
      <c r="N14" s="27">
        <v>0.3</v>
      </c>
      <c r="O14" s="28">
        <v>0</v>
      </c>
      <c r="P14" s="28">
        <v>0</v>
      </c>
      <c r="Q14" s="28">
        <v>1.1</v>
      </c>
      <c r="R14" s="28">
        <v>1.1</v>
      </c>
      <c r="S14" s="27">
        <v>0</v>
      </c>
      <c r="T14" s="27">
        <v>5.1</v>
      </c>
      <c r="U14" s="27">
        <v>0</v>
      </c>
      <c r="V14" s="28">
        <v>1.69</v>
      </c>
      <c r="W14" s="27">
        <v>0</v>
      </c>
      <c r="X14" s="28">
        <f>3.09+0.04</f>
        <v>3.13</v>
      </c>
      <c r="Y14" s="27">
        <v>5.9</v>
      </c>
      <c r="Z14" s="27">
        <v>4.18</v>
      </c>
      <c r="AA14" s="28">
        <v>7.1</v>
      </c>
      <c r="AB14" s="28">
        <v>7.1</v>
      </c>
      <c r="AC14" s="27">
        <v>2.7</v>
      </c>
      <c r="AD14" s="27">
        <v>0</v>
      </c>
      <c r="AE14" s="28">
        <v>0</v>
      </c>
      <c r="AF14" s="27"/>
      <c r="AG14" s="27">
        <v>0</v>
      </c>
      <c r="AH14" s="27">
        <v>2</v>
      </c>
      <c r="AI14" s="280">
        <v>0</v>
      </c>
      <c r="AJ14" s="27">
        <v>0</v>
      </c>
      <c r="AK14" s="27">
        <v>0</v>
      </c>
      <c r="AL14" s="27">
        <v>0</v>
      </c>
      <c r="AM14" s="27">
        <v>13.7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59.8</v>
      </c>
      <c r="AW14" s="27"/>
      <c r="AX14" s="27">
        <v>0</v>
      </c>
      <c r="AY14" s="27">
        <v>0</v>
      </c>
      <c r="AZ14" s="27">
        <v>7.4</v>
      </c>
      <c r="BA14" s="27">
        <v>14.5</v>
      </c>
      <c r="BB14" s="27">
        <v>0</v>
      </c>
      <c r="BC14" s="28"/>
      <c r="BD14" s="28">
        <v>0</v>
      </c>
      <c r="BF14" s="40">
        <f t="shared" si="4"/>
        <v>0.0015211221308986753</v>
      </c>
      <c r="BG14" s="38"/>
      <c r="BH14" s="40">
        <f t="shared" si="5"/>
        <v>0</v>
      </c>
      <c r="BI14" s="40">
        <f t="shared" si="6"/>
        <v>0.0018623122243278873</v>
      </c>
    </row>
    <row r="15" spans="1:61" s="81" customFormat="1" ht="12.75">
      <c r="A15" s="14" t="s">
        <v>436</v>
      </c>
      <c r="B15" s="71">
        <v>3</v>
      </c>
      <c r="C15" s="26">
        <f aca="true" t="shared" si="7" ref="C15:AP15">SUM(C9:C14)</f>
        <v>99.99999999999999</v>
      </c>
      <c r="D15" s="26">
        <f t="shared" si="7"/>
        <v>100</v>
      </c>
      <c r="E15" s="26">
        <f t="shared" si="7"/>
        <v>100</v>
      </c>
      <c r="F15" s="26">
        <f t="shared" si="7"/>
        <v>100.1</v>
      </c>
      <c r="G15" s="26">
        <f t="shared" si="7"/>
        <v>100</v>
      </c>
      <c r="H15" s="26">
        <f t="shared" si="7"/>
        <v>99.9</v>
      </c>
      <c r="I15" s="26">
        <f t="shared" si="7"/>
        <v>99.9</v>
      </c>
      <c r="J15" s="26">
        <f t="shared" si="7"/>
        <v>100</v>
      </c>
      <c r="K15" s="26">
        <f>SUM(K9:K14)</f>
        <v>100.1</v>
      </c>
      <c r="L15" s="26">
        <f t="shared" si="7"/>
        <v>100.01</v>
      </c>
      <c r="M15" s="8">
        <f t="shared" si="7"/>
        <v>100.00000000000001</v>
      </c>
      <c r="N15" s="26">
        <f t="shared" si="7"/>
        <v>99.6</v>
      </c>
      <c r="O15" s="8">
        <f t="shared" si="7"/>
        <v>100</v>
      </c>
      <c r="P15" s="8">
        <f t="shared" si="7"/>
        <v>100</v>
      </c>
      <c r="Q15" s="8">
        <f t="shared" si="7"/>
        <v>99.99999999999999</v>
      </c>
      <c r="R15" s="8">
        <f t="shared" si="7"/>
        <v>99.99999999999999</v>
      </c>
      <c r="S15" s="26">
        <f>SUM(S9:S14)</f>
        <v>100.00000000000001</v>
      </c>
      <c r="T15" s="26">
        <f t="shared" si="7"/>
        <v>99.99999999999999</v>
      </c>
      <c r="U15" s="26">
        <f t="shared" si="7"/>
        <v>100</v>
      </c>
      <c r="V15" s="26">
        <f t="shared" si="7"/>
        <v>100.05999999999999</v>
      </c>
      <c r="W15" s="26">
        <f>SUM(W9:W14)</f>
        <v>100.1</v>
      </c>
      <c r="X15" s="8">
        <f t="shared" si="7"/>
        <v>99.99999999999999</v>
      </c>
      <c r="Y15" s="26">
        <f t="shared" si="7"/>
        <v>100.00000000000001</v>
      </c>
      <c r="Z15" s="26">
        <f t="shared" si="7"/>
        <v>100</v>
      </c>
      <c r="AA15" s="26">
        <f>SUM(AA9:AA14)</f>
        <v>100.10000000000001</v>
      </c>
      <c r="AB15" s="26">
        <f>SUM(AB9:AB14)</f>
        <v>100.10000000000001</v>
      </c>
      <c r="AC15" s="26">
        <f>SUM(AC9:AC14)</f>
        <v>100</v>
      </c>
      <c r="AD15" s="26">
        <f t="shared" si="7"/>
        <v>100</v>
      </c>
      <c r="AE15" s="8">
        <f>SUM(AE9:AE14)</f>
        <v>99.99</v>
      </c>
      <c r="AF15" s="27">
        <f t="shared" si="7"/>
        <v>99.99999999999999</v>
      </c>
      <c r="AG15" s="26">
        <f t="shared" si="7"/>
        <v>100</v>
      </c>
      <c r="AH15" s="26">
        <f t="shared" si="7"/>
        <v>100</v>
      </c>
      <c r="AI15" s="26">
        <f t="shared" si="7"/>
        <v>100.00000000000001</v>
      </c>
      <c r="AJ15" s="26">
        <f t="shared" si="7"/>
        <v>100</v>
      </c>
      <c r="AK15" s="26">
        <f t="shared" si="7"/>
        <v>100</v>
      </c>
      <c r="AL15" s="26">
        <f t="shared" si="7"/>
        <v>100</v>
      </c>
      <c r="AM15" s="26">
        <f t="shared" si="7"/>
        <v>100.10000000000001</v>
      </c>
      <c r="AN15" s="26">
        <f t="shared" si="7"/>
        <v>100.00000000000001</v>
      </c>
      <c r="AO15" s="26">
        <f>SUM(AO9:AO14)</f>
        <v>100</v>
      </c>
      <c r="AP15" s="26">
        <f t="shared" si="7"/>
        <v>100</v>
      </c>
      <c r="AQ15" s="26">
        <f aca="true" t="shared" si="8" ref="AQ15:BB15">SUM(AQ9:AQ14)</f>
        <v>100.00000000000001</v>
      </c>
      <c r="AR15" s="26">
        <f t="shared" si="8"/>
        <v>100.00000000000001</v>
      </c>
      <c r="AS15" s="26">
        <f t="shared" si="8"/>
        <v>100</v>
      </c>
      <c r="AT15" s="26">
        <f t="shared" si="8"/>
        <v>100.00000000000001</v>
      </c>
      <c r="AU15" s="26">
        <f t="shared" si="8"/>
        <v>99.99999999999999</v>
      </c>
      <c r="AV15" s="26">
        <f t="shared" si="8"/>
        <v>99.9</v>
      </c>
      <c r="AW15" s="26">
        <f t="shared" si="8"/>
        <v>99.99999999999999</v>
      </c>
      <c r="AX15" s="26">
        <f t="shared" si="8"/>
        <v>100.00000000000001</v>
      </c>
      <c r="AY15" s="26">
        <f t="shared" si="8"/>
        <v>100</v>
      </c>
      <c r="AZ15" s="26">
        <f t="shared" si="8"/>
        <v>100.1</v>
      </c>
      <c r="BA15" s="8">
        <f>SUM(BA9:BA14)</f>
        <v>99.89999999999999</v>
      </c>
      <c r="BB15" s="26">
        <f t="shared" si="8"/>
        <v>100</v>
      </c>
      <c r="BC15" s="14"/>
      <c r="BD15" s="26">
        <f>SUM(BD9:BD14)</f>
        <v>100</v>
      </c>
      <c r="BF15" s="83">
        <f>SUM(BF9:BF14)</f>
        <v>1.0000000000000004</v>
      </c>
      <c r="BG15" s="82"/>
      <c r="BH15" s="83">
        <f>SUM(BH9:BH14)</f>
        <v>0.9999999999999999</v>
      </c>
      <c r="BI15" s="83">
        <f>SUM(BI9:BI14)</f>
        <v>1.0000000000000002</v>
      </c>
    </row>
    <row r="16" spans="1:61" ht="18.75" customHeight="1">
      <c r="A16" s="72" t="s">
        <v>216</v>
      </c>
      <c r="B16" s="234"/>
      <c r="C16" s="27">
        <v>78</v>
      </c>
      <c r="D16" s="27">
        <v>67.5</v>
      </c>
      <c r="E16" s="27">
        <v>74.5</v>
      </c>
      <c r="F16" s="27">
        <v>78.8</v>
      </c>
      <c r="G16" s="27">
        <v>81</v>
      </c>
      <c r="H16" s="27">
        <v>71.3</v>
      </c>
      <c r="I16" s="27">
        <v>71.3</v>
      </c>
      <c r="J16" s="27">
        <v>75</v>
      </c>
      <c r="K16" s="28">
        <v>67.3</v>
      </c>
      <c r="L16" s="27">
        <v>81.4</v>
      </c>
      <c r="M16" s="27">
        <v>69.3</v>
      </c>
      <c r="N16" s="27">
        <v>82.5</v>
      </c>
      <c r="O16" s="28">
        <v>89.4</v>
      </c>
      <c r="P16" s="28">
        <v>86.1</v>
      </c>
      <c r="Q16" s="28">
        <v>89.7</v>
      </c>
      <c r="R16" s="28">
        <v>89.7</v>
      </c>
      <c r="S16" s="27">
        <v>79.4</v>
      </c>
      <c r="T16" s="27">
        <v>76.4</v>
      </c>
      <c r="U16" s="27">
        <v>83.1</v>
      </c>
      <c r="V16" s="28">
        <v>75.5</v>
      </c>
      <c r="W16" s="27">
        <v>73.6</v>
      </c>
      <c r="X16" s="27">
        <v>83.73</v>
      </c>
      <c r="Y16" s="27">
        <v>75.6</v>
      </c>
      <c r="Z16" s="27">
        <v>78.65</v>
      </c>
      <c r="AA16" s="28">
        <v>81.6</v>
      </c>
      <c r="AB16" s="28">
        <v>81.6</v>
      </c>
      <c r="AC16" s="27">
        <v>85.1</v>
      </c>
      <c r="AD16" s="27">
        <v>97.7</v>
      </c>
      <c r="AE16" s="28">
        <v>78.01</v>
      </c>
      <c r="AF16" s="27">
        <v>84.25</v>
      </c>
      <c r="AG16" s="27">
        <v>99.23</v>
      </c>
      <c r="AH16" s="27">
        <v>66.3</v>
      </c>
      <c r="AI16" s="280">
        <v>100</v>
      </c>
      <c r="AJ16" s="27">
        <v>92.5</v>
      </c>
      <c r="AK16" s="27">
        <v>100</v>
      </c>
      <c r="AL16" s="27">
        <v>90.1</v>
      </c>
      <c r="AM16" s="27">
        <v>81.1</v>
      </c>
      <c r="AN16" s="27">
        <v>93.15</v>
      </c>
      <c r="AO16" s="27">
        <v>84.95</v>
      </c>
      <c r="AP16" s="27">
        <v>77.7</v>
      </c>
      <c r="AQ16" s="27">
        <v>80</v>
      </c>
      <c r="AR16" s="27">
        <v>89.64</v>
      </c>
      <c r="AS16" s="27">
        <v>82</v>
      </c>
      <c r="AT16" s="27">
        <v>78.27</v>
      </c>
      <c r="AU16" s="27">
        <v>96.8</v>
      </c>
      <c r="AV16" s="27">
        <v>98.8</v>
      </c>
      <c r="AW16" s="27">
        <v>76.6</v>
      </c>
      <c r="AX16" s="27">
        <v>93</v>
      </c>
      <c r="AY16" s="27">
        <v>100</v>
      </c>
      <c r="AZ16" s="27">
        <v>98.4</v>
      </c>
      <c r="BA16" s="27">
        <v>100</v>
      </c>
      <c r="BB16" s="27">
        <v>100</v>
      </c>
      <c r="BC16" s="28"/>
      <c r="BD16" s="28">
        <v>97.19</v>
      </c>
      <c r="BF16" s="40">
        <f>+BF89/BF91</f>
        <v>0.7818732519268354</v>
      </c>
      <c r="BG16" s="40"/>
      <c r="BH16" s="40">
        <f>+BH89/BH91</f>
        <v>0.7920440929567598</v>
      </c>
      <c r="BI16" s="40">
        <f>+BI89/BI91</f>
        <v>0.7796113679762078</v>
      </c>
    </row>
    <row r="17" spans="1:61" ht="12.75">
      <c r="A17" s="10" t="s">
        <v>217</v>
      </c>
      <c r="B17" s="71"/>
      <c r="C17" s="27">
        <v>22</v>
      </c>
      <c r="D17" s="27">
        <v>32.5</v>
      </c>
      <c r="E17" s="27">
        <v>25.5</v>
      </c>
      <c r="F17" s="27">
        <v>21.2</v>
      </c>
      <c r="G17" s="27">
        <v>19</v>
      </c>
      <c r="H17" s="27">
        <v>28.7</v>
      </c>
      <c r="I17" s="27">
        <v>28.7</v>
      </c>
      <c r="J17" s="27">
        <v>25</v>
      </c>
      <c r="K17" s="28">
        <v>32.7</v>
      </c>
      <c r="L17" s="27">
        <v>18.6</v>
      </c>
      <c r="M17" s="27">
        <v>30.7</v>
      </c>
      <c r="N17" s="27">
        <v>17.5</v>
      </c>
      <c r="O17" s="28">
        <v>10.6</v>
      </c>
      <c r="P17" s="28">
        <v>13.9</v>
      </c>
      <c r="Q17" s="28">
        <v>10.3</v>
      </c>
      <c r="R17" s="28">
        <v>10.3</v>
      </c>
      <c r="S17" s="27">
        <v>20.6</v>
      </c>
      <c r="T17" s="27">
        <v>23.6</v>
      </c>
      <c r="U17" s="27">
        <v>16.9</v>
      </c>
      <c r="V17" s="28">
        <v>24.5</v>
      </c>
      <c r="W17" s="27">
        <v>26.4</v>
      </c>
      <c r="X17" s="27">
        <v>16.27</v>
      </c>
      <c r="Y17" s="27">
        <v>24.4</v>
      </c>
      <c r="Z17" s="27">
        <v>21.35</v>
      </c>
      <c r="AA17" s="28">
        <v>18.4</v>
      </c>
      <c r="AB17" s="28">
        <v>18.4</v>
      </c>
      <c r="AC17" s="27">
        <v>14.9</v>
      </c>
      <c r="AD17" s="27">
        <v>2.3</v>
      </c>
      <c r="AE17" s="28">
        <v>21.99</v>
      </c>
      <c r="AF17" s="27">
        <v>15.75</v>
      </c>
      <c r="AG17" s="27">
        <v>0.77</v>
      </c>
      <c r="AH17" s="27">
        <v>33.7</v>
      </c>
      <c r="AI17" s="280">
        <v>0</v>
      </c>
      <c r="AJ17" s="27">
        <v>7.5</v>
      </c>
      <c r="AK17" s="27">
        <v>0</v>
      </c>
      <c r="AL17" s="27">
        <v>9.9</v>
      </c>
      <c r="AM17" s="27">
        <v>18.9</v>
      </c>
      <c r="AN17" s="27">
        <v>6.85</v>
      </c>
      <c r="AO17" s="27">
        <v>15.05</v>
      </c>
      <c r="AP17" s="27">
        <v>22.3</v>
      </c>
      <c r="AQ17" s="27">
        <v>20</v>
      </c>
      <c r="AR17" s="27">
        <v>10.36</v>
      </c>
      <c r="AS17" s="27">
        <v>18</v>
      </c>
      <c r="AT17" s="27">
        <v>21.73</v>
      </c>
      <c r="AU17" s="27">
        <v>3.2</v>
      </c>
      <c r="AV17" s="27">
        <v>1.2</v>
      </c>
      <c r="AW17" s="27">
        <v>23.4</v>
      </c>
      <c r="AX17" s="27">
        <v>7</v>
      </c>
      <c r="AY17" s="27">
        <v>0</v>
      </c>
      <c r="AZ17" s="27">
        <v>1.6</v>
      </c>
      <c r="BA17" s="27">
        <v>0</v>
      </c>
      <c r="BB17" s="27">
        <v>0</v>
      </c>
      <c r="BC17" s="28"/>
      <c r="BD17" s="28">
        <v>2.81</v>
      </c>
      <c r="BF17" s="40">
        <f>+BF90/BF91</f>
        <v>0.21812674807316476</v>
      </c>
      <c r="BG17" s="40"/>
      <c r="BH17" s="40">
        <f>+BH90/BH91</f>
        <v>0.2079559070432401</v>
      </c>
      <c r="BI17" s="40">
        <f>+BI90/BI91</f>
        <v>0.22038863202379233</v>
      </c>
    </row>
    <row r="18" spans="1:61" s="81" customFormat="1" ht="12.75">
      <c r="A18" s="14" t="s">
        <v>437</v>
      </c>
      <c r="B18" s="71">
        <v>4</v>
      </c>
      <c r="C18" s="26">
        <f aca="true" t="shared" si="9" ref="C18:AP18">SUM(C16:C17)</f>
        <v>100</v>
      </c>
      <c r="D18" s="26">
        <f t="shared" si="9"/>
        <v>100</v>
      </c>
      <c r="E18" s="26">
        <f t="shared" si="9"/>
        <v>100</v>
      </c>
      <c r="F18" s="26">
        <f t="shared" si="9"/>
        <v>100</v>
      </c>
      <c r="G18" s="26">
        <f t="shared" si="9"/>
        <v>100</v>
      </c>
      <c r="H18" s="26">
        <f t="shared" si="9"/>
        <v>100</v>
      </c>
      <c r="I18" s="26">
        <f t="shared" si="9"/>
        <v>100</v>
      </c>
      <c r="J18" s="26">
        <f t="shared" si="9"/>
        <v>100</v>
      </c>
      <c r="K18" s="26">
        <f>SUM(K16:K17)</f>
        <v>100</v>
      </c>
      <c r="L18" s="26">
        <f t="shared" si="9"/>
        <v>100</v>
      </c>
      <c r="M18" s="26">
        <f t="shared" si="9"/>
        <v>100</v>
      </c>
      <c r="N18" s="26">
        <f t="shared" si="9"/>
        <v>100</v>
      </c>
      <c r="O18" s="8">
        <f t="shared" si="9"/>
        <v>100</v>
      </c>
      <c r="P18" s="8">
        <f t="shared" si="9"/>
        <v>100</v>
      </c>
      <c r="Q18" s="26">
        <f t="shared" si="9"/>
        <v>100</v>
      </c>
      <c r="R18" s="26">
        <f t="shared" si="9"/>
        <v>100</v>
      </c>
      <c r="S18" s="26">
        <f>SUM(S16:S17)</f>
        <v>100</v>
      </c>
      <c r="T18" s="26">
        <f t="shared" si="9"/>
        <v>100</v>
      </c>
      <c r="U18" s="26">
        <f t="shared" si="9"/>
        <v>100</v>
      </c>
      <c r="V18" s="8">
        <f t="shared" si="9"/>
        <v>100</v>
      </c>
      <c r="W18" s="26">
        <f>SUM(W16:W17)</f>
        <v>100</v>
      </c>
      <c r="X18" s="26">
        <f t="shared" si="9"/>
        <v>100</v>
      </c>
      <c r="Y18" s="26">
        <f t="shared" si="9"/>
        <v>100</v>
      </c>
      <c r="Z18" s="26">
        <f t="shared" si="9"/>
        <v>100</v>
      </c>
      <c r="AA18" s="26">
        <f>SUM(AA16:AA17)</f>
        <v>100</v>
      </c>
      <c r="AB18" s="26">
        <f>SUM(AB16:AB17)</f>
        <v>100</v>
      </c>
      <c r="AC18" s="26">
        <f>SUM(AC16:AC17)</f>
        <v>100</v>
      </c>
      <c r="AD18" s="26">
        <f t="shared" si="9"/>
        <v>100</v>
      </c>
      <c r="AE18" s="8">
        <f>SUM(AE16:AE17)</f>
        <v>100</v>
      </c>
      <c r="AF18" s="26">
        <f t="shared" si="9"/>
        <v>100</v>
      </c>
      <c r="AG18" s="26">
        <f t="shared" si="9"/>
        <v>100</v>
      </c>
      <c r="AH18" s="26">
        <f t="shared" si="9"/>
        <v>100</v>
      </c>
      <c r="AI18" s="26">
        <f t="shared" si="9"/>
        <v>100</v>
      </c>
      <c r="AJ18" s="26">
        <f t="shared" si="9"/>
        <v>100</v>
      </c>
      <c r="AK18" s="26">
        <f t="shared" si="9"/>
        <v>100</v>
      </c>
      <c r="AL18" s="26">
        <f t="shared" si="9"/>
        <v>100</v>
      </c>
      <c r="AM18" s="26">
        <f t="shared" si="9"/>
        <v>100</v>
      </c>
      <c r="AN18" s="26">
        <f t="shared" si="9"/>
        <v>100</v>
      </c>
      <c r="AO18" s="26">
        <f>SUM(AO16:AO17)</f>
        <v>100</v>
      </c>
      <c r="AP18" s="26">
        <f t="shared" si="9"/>
        <v>100</v>
      </c>
      <c r="AQ18" s="26">
        <f aca="true" t="shared" si="10" ref="AQ18:BB18">SUM(AQ16:AQ17)</f>
        <v>100</v>
      </c>
      <c r="AR18" s="26">
        <f t="shared" si="10"/>
        <v>100</v>
      </c>
      <c r="AS18" s="26">
        <f t="shared" si="10"/>
        <v>100</v>
      </c>
      <c r="AT18" s="26">
        <f t="shared" si="10"/>
        <v>100</v>
      </c>
      <c r="AU18" s="26">
        <f t="shared" si="10"/>
        <v>100</v>
      </c>
      <c r="AV18" s="26">
        <f t="shared" si="10"/>
        <v>100</v>
      </c>
      <c r="AW18" s="26">
        <f t="shared" si="10"/>
        <v>100</v>
      </c>
      <c r="AX18" s="26">
        <f t="shared" si="10"/>
        <v>100</v>
      </c>
      <c r="AY18" s="26">
        <f t="shared" si="10"/>
        <v>100</v>
      </c>
      <c r="AZ18" s="26">
        <f t="shared" si="10"/>
        <v>100</v>
      </c>
      <c r="BA18" s="26">
        <f t="shared" si="10"/>
        <v>100</v>
      </c>
      <c r="BB18" s="26">
        <f t="shared" si="10"/>
        <v>100</v>
      </c>
      <c r="BC18" s="8">
        <f>SUM(BC16:BC17)</f>
        <v>0</v>
      </c>
      <c r="BD18" s="26">
        <f>SUM(BD16:BD17)</f>
        <v>100</v>
      </c>
      <c r="BF18" s="83">
        <f>SUM(BF16:BF17)</f>
        <v>1.0000000000000002</v>
      </c>
      <c r="BG18" s="82"/>
      <c r="BH18" s="83">
        <f>SUM(BH16:BH17)</f>
        <v>0.9999999999999999</v>
      </c>
      <c r="BI18" s="83">
        <f>SUM(BI16:BI17)</f>
        <v>1</v>
      </c>
    </row>
    <row r="19" spans="1:64" s="50" customFormat="1" ht="18" customHeight="1">
      <c r="A19" s="10" t="s">
        <v>438</v>
      </c>
      <c r="B19" s="71">
        <v>5</v>
      </c>
      <c r="C19" s="8">
        <v>8149</v>
      </c>
      <c r="D19" s="8">
        <v>18337</v>
      </c>
      <c r="E19" s="8">
        <v>28589</v>
      </c>
      <c r="F19" s="8">
        <v>17735</v>
      </c>
      <c r="G19" s="8">
        <v>3665</v>
      </c>
      <c r="H19" s="8">
        <v>8439</v>
      </c>
      <c r="I19" s="8">
        <v>2438</v>
      </c>
      <c r="J19" s="8">
        <v>12067</v>
      </c>
      <c r="K19" s="8">
        <v>5466</v>
      </c>
      <c r="L19" s="8">
        <v>7206</v>
      </c>
      <c r="M19" s="8">
        <v>3644</v>
      </c>
      <c r="N19" s="8">
        <v>5053</v>
      </c>
      <c r="O19" s="8">
        <v>653</v>
      </c>
      <c r="P19" s="8">
        <v>1445</v>
      </c>
      <c r="Q19" s="8">
        <v>1071</v>
      </c>
      <c r="R19" s="8">
        <v>1727</v>
      </c>
      <c r="S19" s="8">
        <v>1086</v>
      </c>
      <c r="T19" s="50">
        <v>6038</v>
      </c>
      <c r="U19" s="274">
        <v>2301</v>
      </c>
      <c r="V19" s="8">
        <v>2082</v>
      </c>
      <c r="W19" s="132">
        <v>815</v>
      </c>
      <c r="X19" s="8">
        <v>3343</v>
      </c>
      <c r="Y19" s="8">
        <v>1565</v>
      </c>
      <c r="Z19" s="8">
        <v>3364</v>
      </c>
      <c r="AA19" s="182">
        <v>7469</v>
      </c>
      <c r="AB19" s="182">
        <v>1413</v>
      </c>
      <c r="AC19" s="8">
        <v>2680</v>
      </c>
      <c r="AD19" s="8">
        <v>1415</v>
      </c>
      <c r="AE19" s="8">
        <v>1509</v>
      </c>
      <c r="AF19" s="8">
        <v>399</v>
      </c>
      <c r="AG19" s="8">
        <v>210</v>
      </c>
      <c r="AH19" s="8">
        <v>2208</v>
      </c>
      <c r="AI19" s="8"/>
      <c r="AJ19" s="8"/>
      <c r="AK19" s="8"/>
      <c r="AL19" s="8">
        <v>700</v>
      </c>
      <c r="AM19" s="8">
        <v>564</v>
      </c>
      <c r="AN19" s="8"/>
      <c r="AO19" s="8">
        <v>249</v>
      </c>
      <c r="AP19" s="8">
        <v>212</v>
      </c>
      <c r="AQ19" s="8">
        <v>230</v>
      </c>
      <c r="AR19" s="8"/>
      <c r="AS19" s="8">
        <v>252</v>
      </c>
      <c r="AT19" s="8">
        <v>108</v>
      </c>
      <c r="AU19" s="8">
        <v>0</v>
      </c>
      <c r="AV19" s="8">
        <v>0</v>
      </c>
      <c r="AW19" s="8">
        <v>127</v>
      </c>
      <c r="AX19" s="8">
        <v>0</v>
      </c>
      <c r="AY19" s="8">
        <v>0</v>
      </c>
      <c r="AZ19" s="8">
        <v>36</v>
      </c>
      <c r="BA19" s="8">
        <v>16</v>
      </c>
      <c r="BB19" s="8"/>
      <c r="BC19" s="8"/>
      <c r="BD19" s="8">
        <v>79</v>
      </c>
      <c r="BF19" s="7">
        <f>SUM(C19:BD19)</f>
        <v>166154</v>
      </c>
      <c r="BG19" s="7"/>
      <c r="BH19" s="7">
        <f>+C19+W19+AD19+AI19+AK19+AP19+AQ19+AS19+AT19+AW19+AZ19+BA19+BB19+BD19</f>
        <v>11439</v>
      </c>
      <c r="BI19" s="7">
        <f>+D19+E19+F19+G19+H19+I19+J19+K19+L19+M19+N19+O19+P19+Q19+R19+S19+T19+U19+V19+X19+Y19+Z19+AA19+AB19+AC19+AE19+AF19+AG19+AH19+AJ19+AL19+AM19+AN19+AO19+AR19+AU19+AV19+AX19+AY19+BC19</f>
        <v>154715</v>
      </c>
      <c r="BJ19" s="18"/>
      <c r="BK19" s="18"/>
      <c r="BL19" s="18"/>
    </row>
    <row r="20" spans="1:64" ht="12" customHeight="1">
      <c r="A20" s="10" t="s">
        <v>439</v>
      </c>
      <c r="B20" s="71">
        <v>6</v>
      </c>
      <c r="C20" s="8">
        <v>8879</v>
      </c>
      <c r="D20" s="26">
        <v>397</v>
      </c>
      <c r="E20" s="26">
        <v>6712</v>
      </c>
      <c r="F20" s="26">
        <v>9739</v>
      </c>
      <c r="G20" s="26">
        <v>3374</v>
      </c>
      <c r="H20" s="26">
        <v>4066</v>
      </c>
      <c r="I20" s="26">
        <v>20</v>
      </c>
      <c r="J20" s="8">
        <v>3814</v>
      </c>
      <c r="K20" s="133">
        <v>106</v>
      </c>
      <c r="L20" s="26">
        <v>3132</v>
      </c>
      <c r="M20" s="2">
        <v>76</v>
      </c>
      <c r="N20" s="26">
        <v>608</v>
      </c>
      <c r="O20" s="8">
        <v>551</v>
      </c>
      <c r="P20" s="8">
        <v>26</v>
      </c>
      <c r="Q20" s="26">
        <v>2647</v>
      </c>
      <c r="R20" s="26">
        <v>70</v>
      </c>
      <c r="S20" s="26">
        <v>244</v>
      </c>
      <c r="T20" s="2">
        <v>1544</v>
      </c>
      <c r="U20" s="129">
        <v>1218</v>
      </c>
      <c r="V20" s="8">
        <v>160</v>
      </c>
      <c r="W20" s="146">
        <v>487</v>
      </c>
      <c r="X20" s="26">
        <v>1942</v>
      </c>
      <c r="Y20" s="26">
        <v>783</v>
      </c>
      <c r="Z20" s="8">
        <v>3668</v>
      </c>
      <c r="AA20" s="8">
        <v>284</v>
      </c>
      <c r="AB20" s="132">
        <v>34</v>
      </c>
      <c r="AC20" s="26">
        <v>1266</v>
      </c>
      <c r="AD20" s="26">
        <v>2019</v>
      </c>
      <c r="AE20" s="8">
        <v>8</v>
      </c>
      <c r="AF20" s="26">
        <v>99</v>
      </c>
      <c r="AG20" s="26">
        <v>173</v>
      </c>
      <c r="AH20" s="26">
        <v>1039</v>
      </c>
      <c r="AI20" s="26">
        <v>137</v>
      </c>
      <c r="AJ20" s="8">
        <v>210</v>
      </c>
      <c r="AK20" s="8">
        <v>15</v>
      </c>
      <c r="AL20" s="26">
        <v>301</v>
      </c>
      <c r="AM20" s="26">
        <v>182</v>
      </c>
      <c r="AN20" s="26">
        <v>122</v>
      </c>
      <c r="AO20" s="26">
        <v>3</v>
      </c>
      <c r="AP20" s="26">
        <v>185</v>
      </c>
      <c r="AQ20" s="26">
        <v>201</v>
      </c>
      <c r="AR20" s="26">
        <v>224</v>
      </c>
      <c r="AS20" s="26">
        <v>281</v>
      </c>
      <c r="AT20" s="8">
        <v>180</v>
      </c>
      <c r="AU20" s="26">
        <v>77</v>
      </c>
      <c r="AV20" s="26">
        <v>209</v>
      </c>
      <c r="AW20" s="26">
        <v>118</v>
      </c>
      <c r="AX20" s="26">
        <v>106</v>
      </c>
      <c r="AY20" s="26">
        <v>119</v>
      </c>
      <c r="AZ20" s="26">
        <v>71</v>
      </c>
      <c r="BA20" s="26">
        <v>40</v>
      </c>
      <c r="BB20" s="26">
        <v>128</v>
      </c>
      <c r="BC20" s="8"/>
      <c r="BD20" s="8">
        <v>148</v>
      </c>
      <c r="BF20" s="7">
        <f>SUM(C20:BD20)</f>
        <v>62242</v>
      </c>
      <c r="BG20" s="7"/>
      <c r="BH20" s="7">
        <f>+C20+W20+AD20+AI20+AK20+AP20+AQ20+AS20+AT20+AW20+AZ20+BA20+BB20+BD20</f>
        <v>12889</v>
      </c>
      <c r="BI20" s="7">
        <f>+D20+E20+F20+G20+H20+I20+J20+K20+L20+M20+N20+O20+P20+Q20+R20+S20+T20+U20+V20+X20+Y20+Z20+AA20+AB20+AC20+AE20+AF20+AG20+AH20+AJ20+AL20+AM20+AN20+AO20+AR20+AU20+AV20+AX20+AY20+BC20</f>
        <v>49353</v>
      </c>
      <c r="BJ20" s="47"/>
      <c r="BK20" s="47"/>
      <c r="BL20" s="47"/>
    </row>
    <row r="21" spans="1:61" ht="21.75" customHeight="1">
      <c r="A21" s="10" t="s">
        <v>218</v>
      </c>
      <c r="B21" s="71"/>
      <c r="C21" s="27">
        <v>74</v>
      </c>
      <c r="D21" s="27">
        <v>12.9</v>
      </c>
      <c r="E21" s="27">
        <v>59.6</v>
      </c>
      <c r="F21" s="27">
        <v>62.5</v>
      </c>
      <c r="G21" s="27">
        <v>44</v>
      </c>
      <c r="H21" s="27">
        <v>63.8</v>
      </c>
      <c r="I21" s="27">
        <v>2.3</v>
      </c>
      <c r="J21" s="27">
        <v>54.9</v>
      </c>
      <c r="K21" s="133">
        <v>13.7</v>
      </c>
      <c r="L21" s="27">
        <v>54.4</v>
      </c>
      <c r="M21" s="28">
        <v>32.5</v>
      </c>
      <c r="N21" s="27">
        <v>53.8</v>
      </c>
      <c r="O21" s="28">
        <v>81.6</v>
      </c>
      <c r="P21" s="28">
        <v>59</v>
      </c>
      <c r="Q21" s="27">
        <v>69.9</v>
      </c>
      <c r="R21" s="27">
        <v>4.5</v>
      </c>
      <c r="S21" s="27">
        <v>79.7</v>
      </c>
      <c r="T21" s="27">
        <v>46.4</v>
      </c>
      <c r="U21" s="27">
        <v>47.4</v>
      </c>
      <c r="V21" s="28">
        <v>77.6</v>
      </c>
      <c r="W21" s="27">
        <v>87.2</v>
      </c>
      <c r="X21" s="27">
        <v>50.4</v>
      </c>
      <c r="Y21" s="27">
        <v>43.5</v>
      </c>
      <c r="Z21" s="27">
        <v>73.65</v>
      </c>
      <c r="AA21" s="28">
        <v>49.1</v>
      </c>
      <c r="AB21" s="28">
        <v>39.7</v>
      </c>
      <c r="AC21" s="27">
        <v>59.5</v>
      </c>
      <c r="AD21" s="27">
        <v>68.4</v>
      </c>
      <c r="AE21" s="28">
        <v>0</v>
      </c>
      <c r="AF21" s="27">
        <v>80.1</v>
      </c>
      <c r="AG21" s="27">
        <v>77.01</v>
      </c>
      <c r="AH21" s="27">
        <v>48.8</v>
      </c>
      <c r="AI21" s="280">
        <v>85.4</v>
      </c>
      <c r="AJ21" s="27">
        <v>71.4</v>
      </c>
      <c r="AK21" s="27">
        <v>75.7</v>
      </c>
      <c r="AL21" s="27">
        <v>58.7</v>
      </c>
      <c r="AM21" s="27">
        <v>50.7</v>
      </c>
      <c r="AN21" s="27">
        <v>81</v>
      </c>
      <c r="AO21" s="27">
        <v>0</v>
      </c>
      <c r="AP21" s="27">
        <v>75.5</v>
      </c>
      <c r="AQ21" s="27">
        <v>80</v>
      </c>
      <c r="AR21" s="27">
        <v>73</v>
      </c>
      <c r="AS21" s="27">
        <v>71.4</v>
      </c>
      <c r="AT21" s="27">
        <v>71.9</v>
      </c>
      <c r="AU21" s="27">
        <v>79.9</v>
      </c>
      <c r="AV21" s="27">
        <v>87.6</v>
      </c>
      <c r="AW21" s="27">
        <v>75.2</v>
      </c>
      <c r="AX21" s="27">
        <v>77</v>
      </c>
      <c r="AY21" s="27">
        <v>76</v>
      </c>
      <c r="AZ21" s="27">
        <v>74.9</v>
      </c>
      <c r="BA21" s="27">
        <v>58</v>
      </c>
      <c r="BB21" s="27">
        <v>71.1</v>
      </c>
      <c r="BC21" s="28"/>
      <c r="BD21" s="28">
        <v>59.4</v>
      </c>
      <c r="BF21" s="40">
        <f>+BF67/$BF$72</f>
        <v>0.6655147430952673</v>
      </c>
      <c r="BG21" s="7"/>
      <c r="BH21" s="40">
        <f>+BH67/$BH$72</f>
        <v>0.7403413456311305</v>
      </c>
      <c r="BI21" s="40">
        <f>+BI67/$BI$72</f>
        <v>0.6016461374002235</v>
      </c>
    </row>
    <row r="22" spans="1:61" ht="12.75">
      <c r="A22" s="10" t="s">
        <v>219</v>
      </c>
      <c r="B22" s="71"/>
      <c r="C22" s="27">
        <v>4.6</v>
      </c>
      <c r="D22" s="27">
        <v>80.3</v>
      </c>
      <c r="E22" s="27">
        <v>27.2</v>
      </c>
      <c r="F22" s="27">
        <v>29.6</v>
      </c>
      <c r="G22" s="27">
        <v>43</v>
      </c>
      <c r="H22" s="27">
        <v>19</v>
      </c>
      <c r="I22" s="27">
        <v>80.8</v>
      </c>
      <c r="J22" s="27">
        <v>33.7</v>
      </c>
      <c r="K22" s="28">
        <v>44.9</v>
      </c>
      <c r="L22" s="27">
        <v>34.3</v>
      </c>
      <c r="M22" s="28">
        <v>59.4</v>
      </c>
      <c r="N22" s="27">
        <v>30.7</v>
      </c>
      <c r="O22" s="28">
        <v>5.7</v>
      </c>
      <c r="P22" s="28">
        <v>27.3</v>
      </c>
      <c r="Q22" s="27">
        <v>15.1</v>
      </c>
      <c r="R22" s="27">
        <v>82.1</v>
      </c>
      <c r="S22" s="27">
        <v>8.2</v>
      </c>
      <c r="T22" s="27">
        <v>43</v>
      </c>
      <c r="U22" s="27">
        <v>37</v>
      </c>
      <c r="V22" s="28">
        <v>7</v>
      </c>
      <c r="W22" s="27">
        <v>10.2</v>
      </c>
      <c r="X22" s="27">
        <v>37.7</v>
      </c>
      <c r="Y22" s="27">
        <v>42.9</v>
      </c>
      <c r="Z22" s="27">
        <v>15.94</v>
      </c>
      <c r="AA22" s="28">
        <v>38.3</v>
      </c>
      <c r="AB22" s="28">
        <v>41.7</v>
      </c>
      <c r="AC22" s="27">
        <v>30.2</v>
      </c>
      <c r="AD22" s="27">
        <v>7</v>
      </c>
      <c r="AE22" s="28">
        <v>56.26</v>
      </c>
      <c r="AF22" s="27">
        <v>9.6</v>
      </c>
      <c r="AG22" s="27">
        <v>18.9</v>
      </c>
      <c r="AH22" s="27">
        <v>41.9</v>
      </c>
      <c r="AI22" s="280">
        <v>0.1</v>
      </c>
      <c r="AJ22" s="27">
        <v>8.1</v>
      </c>
      <c r="AK22" s="27">
        <v>0</v>
      </c>
      <c r="AL22" s="27">
        <v>28.1</v>
      </c>
      <c r="AM22" s="27">
        <v>40.3</v>
      </c>
      <c r="AN22" s="27">
        <v>0.8</v>
      </c>
      <c r="AO22" s="27">
        <v>88.65</v>
      </c>
      <c r="AP22" s="27">
        <v>19.4</v>
      </c>
      <c r="AQ22" s="27">
        <v>4.8</v>
      </c>
      <c r="AR22" s="27">
        <v>11</v>
      </c>
      <c r="AS22" s="27">
        <v>7.2</v>
      </c>
      <c r="AT22" s="27">
        <v>12.4</v>
      </c>
      <c r="AU22" s="27">
        <v>1.4</v>
      </c>
      <c r="AV22" s="27">
        <v>8.1</v>
      </c>
      <c r="AW22" s="27">
        <v>5.2</v>
      </c>
      <c r="AX22" s="27">
        <v>3.1</v>
      </c>
      <c r="AY22" s="27">
        <v>1</v>
      </c>
      <c r="AZ22" s="27">
        <v>12.1</v>
      </c>
      <c r="BA22" s="27">
        <v>6</v>
      </c>
      <c r="BB22" s="27">
        <v>1.7</v>
      </c>
      <c r="BC22" s="28"/>
      <c r="BD22" s="28">
        <v>9.2</v>
      </c>
      <c r="BF22" s="40">
        <f>+BF68/$BF$72</f>
        <v>0.17255921818892964</v>
      </c>
      <c r="BG22" s="7"/>
      <c r="BH22" s="40">
        <f>+BH68/$BH$72</f>
        <v>0.05312665107243275</v>
      </c>
      <c r="BI22" s="40">
        <f>+BI68/$BI$72</f>
        <v>0.27450145902038176</v>
      </c>
    </row>
    <row r="23" spans="1:61" ht="12.75">
      <c r="A23" s="10" t="s">
        <v>220</v>
      </c>
      <c r="B23" s="71"/>
      <c r="C23" s="27">
        <v>21.5</v>
      </c>
      <c r="D23" s="27">
        <v>5.2</v>
      </c>
      <c r="E23" s="27">
        <v>10.5</v>
      </c>
      <c r="F23" s="27">
        <v>5.9</v>
      </c>
      <c r="G23" s="27">
        <v>10</v>
      </c>
      <c r="H23" s="27">
        <v>14.9</v>
      </c>
      <c r="I23" s="27">
        <v>3.8</v>
      </c>
      <c r="J23" s="27">
        <v>8.6</v>
      </c>
      <c r="K23" s="28">
        <v>12.2</v>
      </c>
      <c r="L23" s="27">
        <v>8.4</v>
      </c>
      <c r="M23" s="28">
        <v>5.4</v>
      </c>
      <c r="N23" s="27">
        <v>13.3</v>
      </c>
      <c r="O23" s="28">
        <v>12.6</v>
      </c>
      <c r="P23" s="28">
        <v>12.1</v>
      </c>
      <c r="Q23" s="27">
        <v>14.4</v>
      </c>
      <c r="R23" s="27">
        <v>1.5</v>
      </c>
      <c r="S23" s="27">
        <v>11.6</v>
      </c>
      <c r="T23" s="27">
        <v>8.4</v>
      </c>
      <c r="U23" s="27">
        <v>12.1</v>
      </c>
      <c r="V23" s="28">
        <v>13.1</v>
      </c>
      <c r="W23" s="27">
        <v>2.5</v>
      </c>
      <c r="X23" s="27">
        <v>9</v>
      </c>
      <c r="Y23" s="27">
        <v>10.9</v>
      </c>
      <c r="Z23" s="27">
        <v>8.6</v>
      </c>
      <c r="AA23" s="28">
        <v>3.9</v>
      </c>
      <c r="AB23" s="28">
        <v>0</v>
      </c>
      <c r="AC23" s="27">
        <v>8.1</v>
      </c>
      <c r="AD23" s="27">
        <v>24.3</v>
      </c>
      <c r="AE23" s="28">
        <v>43.73</v>
      </c>
      <c r="AF23" s="27">
        <v>9.3</v>
      </c>
      <c r="AG23" s="27">
        <v>3.91</v>
      </c>
      <c r="AH23" s="27">
        <v>5.6</v>
      </c>
      <c r="AI23" s="280">
        <v>14.5</v>
      </c>
      <c r="AJ23" s="27">
        <v>20.3</v>
      </c>
      <c r="AK23" s="27">
        <v>24.3</v>
      </c>
      <c r="AL23" s="27">
        <v>10.6</v>
      </c>
      <c r="AM23" s="27">
        <v>7.8</v>
      </c>
      <c r="AN23" s="27">
        <v>18.2</v>
      </c>
      <c r="AO23" s="27">
        <v>11.34</v>
      </c>
      <c r="AP23" s="27">
        <v>5</v>
      </c>
      <c r="AQ23" s="27">
        <v>14.7</v>
      </c>
      <c r="AR23" s="27">
        <v>16</v>
      </c>
      <c r="AS23" s="27">
        <v>20.8</v>
      </c>
      <c r="AT23" s="27">
        <v>15.5</v>
      </c>
      <c r="AU23" s="27">
        <v>17.9</v>
      </c>
      <c r="AV23" s="27">
        <v>4.1</v>
      </c>
      <c r="AW23" s="27">
        <v>19.6</v>
      </c>
      <c r="AX23" s="27">
        <v>19.9</v>
      </c>
      <c r="AY23" s="27">
        <v>23</v>
      </c>
      <c r="AZ23" s="27">
        <v>11.8</v>
      </c>
      <c r="BA23" s="27">
        <v>36</v>
      </c>
      <c r="BB23" s="27">
        <v>26.9</v>
      </c>
      <c r="BC23" s="28"/>
      <c r="BD23" s="28">
        <v>30.3</v>
      </c>
      <c r="BF23" s="40">
        <f>+BF69/$BF$72</f>
        <v>0.1494553009203361</v>
      </c>
      <c r="BG23" s="7"/>
      <c r="BH23" s="40">
        <f>+BH69/$BH$72</f>
        <v>0.2051762504878342</v>
      </c>
      <c r="BI23" s="40">
        <f>+BI69/$BI$72</f>
        <v>0.10189441700643342</v>
      </c>
    </row>
    <row r="24" spans="1:61" ht="12.75">
      <c r="A24" s="10" t="s">
        <v>221</v>
      </c>
      <c r="B24" s="71"/>
      <c r="C24" s="27">
        <v>0.1</v>
      </c>
      <c r="D24" s="27">
        <v>1.6</v>
      </c>
      <c r="E24" s="27">
        <v>2.7</v>
      </c>
      <c r="F24" s="27">
        <v>2</v>
      </c>
      <c r="G24" s="27">
        <v>3</v>
      </c>
      <c r="H24" s="27">
        <v>1.9</v>
      </c>
      <c r="I24" s="27">
        <v>13.1</v>
      </c>
      <c r="J24" s="27">
        <v>2.8</v>
      </c>
      <c r="K24" s="28">
        <v>7</v>
      </c>
      <c r="L24" s="27">
        <v>2.9</v>
      </c>
      <c r="M24" s="28">
        <v>2.7</v>
      </c>
      <c r="N24" s="27">
        <v>2.2</v>
      </c>
      <c r="O24" s="28">
        <v>0.1</v>
      </c>
      <c r="P24" s="28">
        <v>1.6</v>
      </c>
      <c r="Q24" s="27">
        <v>0.6</v>
      </c>
      <c r="R24" s="27">
        <v>11.9</v>
      </c>
      <c r="S24" s="27">
        <v>0.5</v>
      </c>
      <c r="T24" s="27">
        <v>2.3</v>
      </c>
      <c r="U24" s="27">
        <v>3.5</v>
      </c>
      <c r="V24" s="28">
        <v>2.3</v>
      </c>
      <c r="W24" s="27">
        <v>0.1</v>
      </c>
      <c r="X24" s="27">
        <v>2.9</v>
      </c>
      <c r="Y24" s="27">
        <v>2.7</v>
      </c>
      <c r="Z24" s="27">
        <v>1.8</v>
      </c>
      <c r="AA24" s="28">
        <v>8.8</v>
      </c>
      <c r="AB24" s="28">
        <v>18.5</v>
      </c>
      <c r="AC24" s="27">
        <v>2.2</v>
      </c>
      <c r="AD24" s="27">
        <v>0.3</v>
      </c>
      <c r="AE24" s="28">
        <v>0</v>
      </c>
      <c r="AF24" s="27">
        <v>1</v>
      </c>
      <c r="AG24" s="27">
        <v>0.18</v>
      </c>
      <c r="AH24" s="27">
        <v>3.7</v>
      </c>
      <c r="AI24" s="280">
        <v>0</v>
      </c>
      <c r="AJ24" s="27">
        <v>0.2</v>
      </c>
      <c r="AK24" s="27">
        <v>0</v>
      </c>
      <c r="AL24" s="27">
        <v>2.6</v>
      </c>
      <c r="AM24" s="27">
        <v>1.2</v>
      </c>
      <c r="AN24" s="27">
        <v>0</v>
      </c>
      <c r="AO24" s="27">
        <v>0</v>
      </c>
      <c r="AP24" s="27">
        <v>0.1</v>
      </c>
      <c r="AQ24" s="27">
        <v>0.5</v>
      </c>
      <c r="AR24" s="27">
        <v>0</v>
      </c>
      <c r="AS24" s="27">
        <v>0.5</v>
      </c>
      <c r="AT24" s="27">
        <v>0.2</v>
      </c>
      <c r="AU24" s="27">
        <v>0.8</v>
      </c>
      <c r="AV24" s="27">
        <v>0.3</v>
      </c>
      <c r="AW24" s="27">
        <v>0</v>
      </c>
      <c r="AX24" s="27">
        <v>0</v>
      </c>
      <c r="AY24" s="27">
        <v>0</v>
      </c>
      <c r="AZ24" s="27">
        <v>1.1</v>
      </c>
      <c r="BA24" s="27">
        <v>0</v>
      </c>
      <c r="BB24" s="27">
        <v>0.3</v>
      </c>
      <c r="BC24" s="28"/>
      <c r="BD24" s="28">
        <v>1.1</v>
      </c>
      <c r="BF24" s="40">
        <f>+BF70/$BF$72</f>
        <v>0.012102943928859859</v>
      </c>
      <c r="BG24" s="7"/>
      <c r="BH24" s="40">
        <f>+BH70/$BH$72</f>
        <v>0.0013557528086024875</v>
      </c>
      <c r="BI24" s="40">
        <f>+BI70/$BI$72</f>
        <v>0.02127626048643044</v>
      </c>
    </row>
    <row r="25" spans="1:61" ht="12.75">
      <c r="A25" s="10" t="s">
        <v>440</v>
      </c>
      <c r="B25" s="71">
        <v>7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0.4</v>
      </c>
      <c r="I25" s="27">
        <v>0</v>
      </c>
      <c r="J25" s="27">
        <v>0</v>
      </c>
      <c r="K25" s="28">
        <v>21.9</v>
      </c>
      <c r="L25" s="27">
        <v>0</v>
      </c>
      <c r="M25" s="28">
        <v>0</v>
      </c>
      <c r="N25" s="27">
        <v>0</v>
      </c>
      <c r="O25" s="28">
        <v>0</v>
      </c>
      <c r="P25" s="28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8">
        <v>0</v>
      </c>
      <c r="AB25" s="28">
        <v>0</v>
      </c>
      <c r="AC25" s="27">
        <v>0</v>
      </c>
      <c r="AD25" s="27">
        <v>0</v>
      </c>
      <c r="AE25" s="28">
        <v>0</v>
      </c>
      <c r="AF25" s="27"/>
      <c r="AG25" s="27">
        <v>0</v>
      </c>
      <c r="AH25" s="27">
        <v>0</v>
      </c>
      <c r="AI25" s="280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8"/>
      <c r="BD25" s="28">
        <v>0</v>
      </c>
      <c r="BF25" s="40">
        <f>+BF71/$BF$72</f>
        <v>0.00036779386660727443</v>
      </c>
      <c r="BG25" s="7"/>
      <c r="BH25" s="40">
        <f>+BH71/$BH$72</f>
        <v>0</v>
      </c>
      <c r="BI25" s="40">
        <f>+BI71/$BI$72</f>
        <v>0.0006817260865304853</v>
      </c>
    </row>
    <row r="26" spans="1:61" s="81" customFormat="1" ht="12.75">
      <c r="A26" s="14" t="s">
        <v>222</v>
      </c>
      <c r="B26" s="71"/>
      <c r="C26" s="26">
        <f aca="true" t="shared" si="11" ref="C26:AP26">SUM(C21:C25)</f>
        <v>100.19999999999999</v>
      </c>
      <c r="D26" s="26">
        <f t="shared" si="11"/>
        <v>100</v>
      </c>
      <c r="E26" s="26">
        <f t="shared" si="11"/>
        <v>100</v>
      </c>
      <c r="F26" s="26">
        <f t="shared" si="11"/>
        <v>100</v>
      </c>
      <c r="G26" s="26">
        <f t="shared" si="11"/>
        <v>100</v>
      </c>
      <c r="H26" s="26">
        <f t="shared" si="11"/>
        <v>100.00000000000001</v>
      </c>
      <c r="I26" s="26">
        <f t="shared" si="11"/>
        <v>99.99999999999999</v>
      </c>
      <c r="J26" s="26">
        <f t="shared" si="11"/>
        <v>99.99999999999999</v>
      </c>
      <c r="K26" s="8">
        <f>SUM(K21:K25)</f>
        <v>99.69999999999999</v>
      </c>
      <c r="L26" s="26">
        <f t="shared" si="11"/>
        <v>100</v>
      </c>
      <c r="M26" s="26">
        <f t="shared" si="11"/>
        <v>100.00000000000001</v>
      </c>
      <c r="N26" s="26">
        <f t="shared" si="11"/>
        <v>100</v>
      </c>
      <c r="O26" s="8">
        <f t="shared" si="11"/>
        <v>99.99999999999999</v>
      </c>
      <c r="P26" s="8">
        <f t="shared" si="11"/>
        <v>99.99999999999999</v>
      </c>
      <c r="Q26" s="26">
        <f t="shared" si="11"/>
        <v>100</v>
      </c>
      <c r="R26" s="26">
        <f t="shared" si="11"/>
        <v>100</v>
      </c>
      <c r="S26" s="26">
        <f>SUM(S21:S25)</f>
        <v>100</v>
      </c>
      <c r="T26" s="26">
        <f t="shared" si="11"/>
        <v>100.10000000000001</v>
      </c>
      <c r="U26" s="26">
        <f t="shared" si="11"/>
        <v>100</v>
      </c>
      <c r="V26" s="26">
        <f t="shared" si="11"/>
        <v>99.99999999999999</v>
      </c>
      <c r="W26" s="26">
        <f>SUM(W21:W25)</f>
        <v>100</v>
      </c>
      <c r="X26" s="26">
        <f t="shared" si="11"/>
        <v>100</v>
      </c>
      <c r="Y26" s="26">
        <f t="shared" si="11"/>
        <v>100.00000000000001</v>
      </c>
      <c r="Z26" s="26">
        <f t="shared" si="11"/>
        <v>99.99</v>
      </c>
      <c r="AA26" s="8">
        <f>SUM(AA21:AA25)</f>
        <v>100.10000000000001</v>
      </c>
      <c r="AB26" s="8">
        <f>SUM(AB21:AB25)</f>
        <v>99.9</v>
      </c>
      <c r="AC26" s="26">
        <f>SUM(AC21:AC25)</f>
        <v>100</v>
      </c>
      <c r="AD26" s="26">
        <f t="shared" si="11"/>
        <v>100</v>
      </c>
      <c r="AE26" s="8">
        <f>SUM(AE21:AE25)</f>
        <v>99.99</v>
      </c>
      <c r="AF26" s="26">
        <f t="shared" si="11"/>
        <v>99.99999999999999</v>
      </c>
      <c r="AG26" s="26">
        <f t="shared" si="11"/>
        <v>100</v>
      </c>
      <c r="AH26" s="26">
        <f t="shared" si="11"/>
        <v>99.99999999999999</v>
      </c>
      <c r="AI26" s="26">
        <f t="shared" si="11"/>
        <v>100</v>
      </c>
      <c r="AJ26" s="26">
        <f t="shared" si="11"/>
        <v>100</v>
      </c>
      <c r="AK26" s="26">
        <f t="shared" si="11"/>
        <v>100</v>
      </c>
      <c r="AL26" s="26">
        <f t="shared" si="11"/>
        <v>100</v>
      </c>
      <c r="AM26" s="26">
        <f t="shared" si="11"/>
        <v>100</v>
      </c>
      <c r="AN26" s="26">
        <f t="shared" si="11"/>
        <v>100</v>
      </c>
      <c r="AO26" s="26">
        <f>SUM(AO21:AO25)</f>
        <v>99.99000000000001</v>
      </c>
      <c r="AP26" s="26">
        <f t="shared" si="11"/>
        <v>100</v>
      </c>
      <c r="AQ26" s="26">
        <f aca="true" t="shared" si="12" ref="AQ26:BB26">SUM(AQ21:AQ25)</f>
        <v>100</v>
      </c>
      <c r="AR26" s="26">
        <f t="shared" si="12"/>
        <v>100</v>
      </c>
      <c r="AS26" s="26">
        <f t="shared" si="12"/>
        <v>99.9</v>
      </c>
      <c r="AT26" s="26">
        <f t="shared" si="12"/>
        <v>100.00000000000001</v>
      </c>
      <c r="AU26" s="26">
        <f t="shared" si="12"/>
        <v>100.00000000000001</v>
      </c>
      <c r="AV26" s="26">
        <f t="shared" si="12"/>
        <v>100.09999999999998</v>
      </c>
      <c r="AW26" s="26">
        <f t="shared" si="12"/>
        <v>100</v>
      </c>
      <c r="AX26" s="26">
        <f t="shared" si="12"/>
        <v>100</v>
      </c>
      <c r="AY26" s="26">
        <f t="shared" si="12"/>
        <v>100</v>
      </c>
      <c r="AZ26" s="26">
        <f t="shared" si="12"/>
        <v>99.89999999999999</v>
      </c>
      <c r="BA26" s="26">
        <f t="shared" si="12"/>
        <v>100</v>
      </c>
      <c r="BB26" s="26">
        <f t="shared" si="12"/>
        <v>99.99999999999999</v>
      </c>
      <c r="BC26" s="292"/>
      <c r="BD26" s="26">
        <f>SUM(BD21:BD25)</f>
        <v>99.99999999999999</v>
      </c>
      <c r="BF26" s="83">
        <f>SUM(BF21:BF25)</f>
        <v>1.0000000000000002</v>
      </c>
      <c r="BG26" s="83"/>
      <c r="BH26" s="83">
        <f>SUM(BH21:BH25)</f>
        <v>0.9999999999999999</v>
      </c>
      <c r="BI26" s="83">
        <f>SUM(BI21:BI25)</f>
        <v>0.9999999999999997</v>
      </c>
    </row>
    <row r="27" spans="1:61" ht="21" customHeight="1">
      <c r="A27" s="10" t="s">
        <v>441</v>
      </c>
      <c r="B27" s="71">
        <v>8</v>
      </c>
      <c r="C27" s="31">
        <f>+'4.1. Samtryggingard.'!B21/'4.1. Samtryggingard.'!B14</f>
        <v>0.6962604085827013</v>
      </c>
      <c r="D27" s="31">
        <f>+'4.1. Samtryggingard.'!C21/'4.1. Samtryggingard.'!C14</f>
        <v>0.026181690961221714</v>
      </c>
      <c r="E27" s="31">
        <f>+'4.1. Samtryggingard.'!D21/'4.1. Samtryggingard.'!D14</f>
        <v>0.31732778359300795</v>
      </c>
      <c r="F27" s="31">
        <f>+'4.1. Samtryggingard.'!E21/'4.1. Samtryggingard.'!E14</f>
        <v>0.6503177689985509</v>
      </c>
      <c r="G27" s="31">
        <f>+'4.1. Samtryggingard.'!F21/'4.1. Samtryggingard.'!F14</f>
        <v>0.7675230435198208</v>
      </c>
      <c r="H27" s="31">
        <f>+'4.1. Samtryggingard.'!G21/'4.1. Samtryggingard.'!G14</f>
        <v>0.6982484658434114</v>
      </c>
      <c r="I27" s="31">
        <f>+'4.1. Samtryggingard.'!H21/'4.1. Samtryggingard.'!H14</f>
        <v>0.0049521418359952</v>
      </c>
      <c r="J27" s="31">
        <f>+'4.1. Samtryggingard.'!I21/'4.1. Samtryggingard.'!I14</f>
        <v>0.6522337242692936</v>
      </c>
      <c r="K27" s="31">
        <f>+'4.1. Samtryggingard.'!J21/'4.1. Samtryggingard.'!J14</f>
        <v>0.020552582812020836</v>
      </c>
      <c r="L27" s="31">
        <f>+'4.1. Samtryggingard.'!K21/'4.1. Samtryggingard.'!K14</f>
        <v>0.22390106365334728</v>
      </c>
      <c r="M27" s="31">
        <f>+'4.1. Samtryggingard.'!L21/'4.1. Samtryggingard.'!L14</f>
        <v>0.03523413681061506</v>
      </c>
      <c r="N27" s="31">
        <f>+'4.1. Samtryggingard.'!M21/'4.1. Samtryggingard.'!M14</f>
        <v>0.19929983622358224</v>
      </c>
      <c r="O27" s="31">
        <f>+'4.1. Samtryggingard.'!N21/'4.1. Samtryggingard.'!N14</f>
        <v>2.042919603819042</v>
      </c>
      <c r="P27" s="31">
        <f>+'4.1. Samtryggingard.'!O21/'4.1. Samtryggingard.'!O14</f>
        <v>0.04058484411000779</v>
      </c>
      <c r="Q27" s="31">
        <f>+'4.1. Samtryggingard.'!P21/'4.1. Samtryggingard.'!P14</f>
        <v>2.489063510766103</v>
      </c>
      <c r="R27" s="31">
        <f>+'4.1. Samtryggingard.'!Q21/'4.1. Samtryggingard.'!Q14</f>
        <v>0.0258127642394949</v>
      </c>
      <c r="S27" s="31">
        <f>+'4.1. Samtryggingard.'!R21/'4.1. Samtryggingard.'!R14</f>
        <v>0.4833653222897872</v>
      </c>
      <c r="T27" s="31">
        <f>+'4.1. Samtryggingard.'!S21/'4.1. Samtryggingard.'!S14</f>
        <v>0.4202566383690948</v>
      </c>
      <c r="U27" s="31">
        <f>+'4.1. Samtryggingard.'!T21/'4.1. Samtryggingard.'!T14</f>
        <v>0.8902134530529605</v>
      </c>
      <c r="V27" s="31">
        <f>+'4.1. Samtryggingard.'!U21/'4.1. Samtryggingard.'!U14</f>
        <v>0.14161799645601406</v>
      </c>
      <c r="W27" s="31">
        <f>+'4.1. Samtryggingard.'!V21/'4.1. Samtryggingard.'!V14</f>
        <v>0.49305539902119244</v>
      </c>
      <c r="X27" s="31">
        <f>+'4.1. Samtryggingard.'!W21/'4.1. Samtryggingard.'!W14</f>
        <v>0.6360653696641596</v>
      </c>
      <c r="Y27" s="31">
        <f>+'4.1. Samtryggingard.'!X21/'4.1. Samtryggingard.'!X14</f>
        <v>0.7713825846131712</v>
      </c>
      <c r="Z27" s="31">
        <f>+'4.1. Samtryggingard.'!Y21/'4.1. Samtryggingard.'!Y14</f>
        <v>1.5845566533572886</v>
      </c>
      <c r="AA27" s="31">
        <f>+'4.1. Samtryggingard.'!Z21/'4.1. Samtryggingard.'!Z14</f>
        <v>0.036166137342874216</v>
      </c>
      <c r="AB27" s="31">
        <f>+'4.1. Samtryggingard.'!AA21/'4.1. Samtryggingard.'!AA14</f>
        <v>0.019411464659766703</v>
      </c>
      <c r="AC27" s="31">
        <f>+'4.1. Samtryggingard.'!AB21/'4.1. Samtryggingard.'!AB14</f>
        <v>0.6072456831761653</v>
      </c>
      <c r="AD27" s="31">
        <f>+'4.1. Samtryggingard.'!AC21/'4.1. Samtryggingard.'!AC14</f>
        <v>0.8980207523883531</v>
      </c>
      <c r="AE27" s="31">
        <f>+'4.1. Samtryggingard.'!AD21/'4.1. Samtryggingard.'!AD14</f>
        <v>0.009704100631748968</v>
      </c>
      <c r="AF27" s="31">
        <f>+'4.1. Samtryggingard.'!AE21/'4.1. Samtryggingard.'!AE14</f>
        <v>0.5666959689455281</v>
      </c>
      <c r="AG27" s="31">
        <f>+'4.1. Samtryggingard.'!AF21/'4.1. Samtryggingard.'!AF14</f>
        <v>2.7657786839212304</v>
      </c>
      <c r="AH27" s="31">
        <f>+'4.1. Samtryggingard.'!AG21/'4.1. Samtryggingard.'!AG14</f>
        <v>0.4850002128635828</v>
      </c>
      <c r="AI27" s="31">
        <f>+'4.1. Samtryggingard.'!AH21/'4.1. Samtryggingard.'!AH14</f>
        <v>0.22330448054947483</v>
      </c>
      <c r="AJ27" s="235" t="s">
        <v>467</v>
      </c>
      <c r="AK27" s="235" t="s">
        <v>467</v>
      </c>
      <c r="AL27" s="31">
        <f>+'4.1. Samtryggingard.'!AK21/'4.1. Samtryggingard.'!AK14</f>
        <v>0.5952656956134603</v>
      </c>
      <c r="AM27" s="31">
        <f>+'4.1. Samtryggingard.'!AL21/'4.1. Samtryggingard.'!AL14</f>
        <v>0.5987565066512435</v>
      </c>
      <c r="AN27" s="235" t="s">
        <v>467</v>
      </c>
      <c r="AO27" s="31">
        <f>+'4.1. Samtryggingard.'!AN21/'4.1. Samtryggingard.'!AN14</f>
        <v>0.02647594278283485</v>
      </c>
      <c r="AP27" s="31">
        <f>+'4.1. Samtryggingard.'!AO21/'4.1. Samtryggingard.'!AO14</f>
        <v>1.0531562052622687</v>
      </c>
      <c r="AQ27" s="31">
        <f>+'4.1. Samtryggingard.'!AP21/'4.1. Samtryggingard.'!AP14</f>
        <v>0.9525008548602693</v>
      </c>
      <c r="AR27" s="235" t="s">
        <v>467</v>
      </c>
      <c r="AS27" s="31">
        <f>+'4.1. Samtryggingard.'!AR21/'4.1. Samtryggingard.'!AR14</f>
        <v>1.378111006183934</v>
      </c>
      <c r="AT27" s="31">
        <f>+'4.1. Samtryggingard.'!AS21/'4.1. Samtryggingard.'!AS14</f>
        <v>3.8545894516856403</v>
      </c>
      <c r="AU27" s="235" t="s">
        <v>467</v>
      </c>
      <c r="AV27" s="235" t="s">
        <v>467</v>
      </c>
      <c r="AW27" s="31">
        <f>+'4.1. Samtryggingard.'!AV21/'4.1. Samtryggingard.'!AV14</f>
        <v>1.0084750122173924</v>
      </c>
      <c r="AX27" s="235" t="s">
        <v>467</v>
      </c>
      <c r="AY27" s="235" t="s">
        <v>467</v>
      </c>
      <c r="AZ27" s="31">
        <f>+'4.1. Samtryggingard.'!AY21/'4.1. Samtryggingard.'!AY14</f>
        <v>1.185416199687469</v>
      </c>
      <c r="BA27" s="31">
        <f>+'4.1. Samtryggingard.'!AZ21/'4.1. Samtryggingard.'!AZ14</f>
        <v>1.1830681395898788</v>
      </c>
      <c r="BB27" s="235" t="s">
        <v>467</v>
      </c>
      <c r="BC27" s="235" t="s">
        <v>467</v>
      </c>
      <c r="BD27" s="31">
        <f>+'4.1. Samtryggingard.'!BC21/'4.1. Samtryggingard.'!BC14</f>
        <v>2.0630412446792894</v>
      </c>
      <c r="BE27" s="29"/>
      <c r="BF27" s="29">
        <f>+'4.1. Samtryggingard.'!BE21/'4.1. Samtryggingard.'!BE14</f>
        <v>0.4839234806936726</v>
      </c>
      <c r="BG27" s="29"/>
      <c r="BH27" s="29">
        <f>+'4.1. Samtryggingard.'!BG21/'4.1. Samtryggingard.'!BG14</f>
        <v>0.7041791145460744</v>
      </c>
      <c r="BI27" s="29">
        <f>+'4.1. Samtryggingard.'!BH21/'4.1. Samtryggingard.'!BH14</f>
        <v>0.3817176875883316</v>
      </c>
    </row>
    <row r="28" spans="1:61" ht="12.75">
      <c r="A28" s="10"/>
      <c r="B28" s="71"/>
      <c r="C28" s="50"/>
      <c r="D28" s="29"/>
      <c r="E28" s="26"/>
      <c r="F28" s="29"/>
      <c r="G28" s="29"/>
      <c r="H28" s="29"/>
      <c r="J28" s="29"/>
      <c r="K28" s="31"/>
      <c r="L28" s="29"/>
      <c r="M28" s="25"/>
      <c r="N28" s="29"/>
      <c r="O28" s="30"/>
      <c r="Q28" s="29"/>
      <c r="R28" s="2"/>
      <c r="S28" s="31"/>
      <c r="T28" s="29"/>
      <c r="U28" s="29"/>
      <c r="V28" s="30"/>
      <c r="X28" s="26"/>
      <c r="Y28" s="29"/>
      <c r="AA28" s="30"/>
      <c r="AB28" s="50"/>
      <c r="AD28" s="26"/>
      <c r="AE28" s="30"/>
      <c r="AF28" s="26"/>
      <c r="AG28" s="29"/>
      <c r="AH28" s="26"/>
      <c r="AI28" s="138"/>
      <c r="AJ28" s="48"/>
      <c r="AK28" s="49"/>
      <c r="AL28" s="29"/>
      <c r="AM28" s="26"/>
      <c r="AN28" s="146"/>
      <c r="AO28" s="29"/>
      <c r="AP28" s="26"/>
      <c r="AQ28" s="29"/>
      <c r="AR28" s="146"/>
      <c r="AS28" s="130"/>
      <c r="AT28" s="26"/>
      <c r="AU28" s="146"/>
      <c r="AV28" s="146"/>
      <c r="AW28" s="26"/>
      <c r="AX28" s="146"/>
      <c r="AY28" s="146"/>
      <c r="AZ28" s="26"/>
      <c r="BA28" s="26"/>
      <c r="BB28" s="146"/>
      <c r="BC28" s="30"/>
      <c r="BF28" s="29"/>
      <c r="BG28" s="29"/>
      <c r="BH28" s="5"/>
      <c r="BI28" s="5"/>
    </row>
    <row r="29" spans="1:61" s="352" customFormat="1" ht="17.25" customHeight="1">
      <c r="A29" s="90" t="s">
        <v>433</v>
      </c>
      <c r="B29" s="236">
        <v>9</v>
      </c>
      <c r="C29" s="31">
        <v>-0.607</v>
      </c>
      <c r="D29" s="31">
        <v>-0.035</v>
      </c>
      <c r="E29" s="31">
        <v>-0.059</v>
      </c>
      <c r="F29" s="31">
        <v>-0.073</v>
      </c>
      <c r="G29" s="31">
        <v>-0.027</v>
      </c>
      <c r="H29" s="31">
        <v>-0.092</v>
      </c>
      <c r="I29" s="356">
        <v>-0.027</v>
      </c>
      <c r="J29" s="356">
        <v>-0.05</v>
      </c>
      <c r="K29" s="31">
        <v>0.036</v>
      </c>
      <c r="L29" s="31">
        <v>-0.02</v>
      </c>
      <c r="M29" s="31">
        <v>0.122</v>
      </c>
      <c r="N29" s="31">
        <v>0.038</v>
      </c>
      <c r="O29" s="31">
        <v>-0.118</v>
      </c>
      <c r="P29" s="31">
        <v>-0.04</v>
      </c>
      <c r="Q29" s="31">
        <v>-0.04</v>
      </c>
      <c r="R29" s="50">
        <v>6.9</v>
      </c>
      <c r="S29" s="31">
        <v>0.006</v>
      </c>
      <c r="T29" s="31">
        <v>-0.091</v>
      </c>
      <c r="U29" s="31">
        <v>-0.022</v>
      </c>
      <c r="V29" s="31">
        <v>-0.06</v>
      </c>
      <c r="W29" s="349">
        <v>-0.595</v>
      </c>
      <c r="X29" s="31">
        <v>-0.162</v>
      </c>
      <c r="Y29" s="31">
        <v>-0.108</v>
      </c>
      <c r="Z29" s="31">
        <v>-0.097</v>
      </c>
      <c r="AA29" s="31">
        <v>-0.079</v>
      </c>
      <c r="AB29" s="31">
        <v>0.019</v>
      </c>
      <c r="AC29" s="31">
        <v>-0.021</v>
      </c>
      <c r="AD29" s="31">
        <v>-0.73</v>
      </c>
      <c r="AE29" s="31">
        <v>0.031</v>
      </c>
      <c r="AF29" s="31">
        <v>-0.05</v>
      </c>
      <c r="AG29" s="31">
        <v>0.098</v>
      </c>
      <c r="AH29" s="31">
        <v>-0.144</v>
      </c>
      <c r="AI29" s="350" t="s">
        <v>467</v>
      </c>
      <c r="AJ29" s="235" t="s">
        <v>467</v>
      </c>
      <c r="AK29" s="238" t="s">
        <v>467</v>
      </c>
      <c r="AL29" s="31">
        <v>-0.027</v>
      </c>
      <c r="AM29" s="31">
        <v>-0.025</v>
      </c>
      <c r="AN29" s="235" t="s">
        <v>467</v>
      </c>
      <c r="AO29" s="31">
        <v>0.066</v>
      </c>
      <c r="AP29" s="31">
        <v>-0.472</v>
      </c>
      <c r="AQ29" s="31">
        <v>-0.68</v>
      </c>
      <c r="AR29" s="235" t="s">
        <v>467</v>
      </c>
      <c r="AS29" s="351">
        <v>-0.77</v>
      </c>
      <c r="AT29" s="31">
        <v>-0.69</v>
      </c>
      <c r="AU29" s="238" t="s">
        <v>467</v>
      </c>
      <c r="AV29" s="235" t="s">
        <v>467</v>
      </c>
      <c r="AW29" s="31">
        <v>-0.789</v>
      </c>
      <c r="AX29" s="238" t="s">
        <v>467</v>
      </c>
      <c r="AY29" s="238" t="s">
        <v>467</v>
      </c>
      <c r="AZ29" s="31">
        <v>-0.682</v>
      </c>
      <c r="BA29" s="31">
        <v>-0.817</v>
      </c>
      <c r="BB29" s="235" t="s">
        <v>467</v>
      </c>
      <c r="BC29" s="31"/>
      <c r="BD29" s="30">
        <v>-0.962</v>
      </c>
      <c r="BF29" s="31"/>
      <c r="BG29" s="31"/>
      <c r="BH29" s="7"/>
      <c r="BI29" s="7"/>
    </row>
    <row r="30" spans="1:61" s="352" customFormat="1" ht="16.5" customHeight="1">
      <c r="A30" s="90" t="s">
        <v>434</v>
      </c>
      <c r="B30" s="236">
        <v>10</v>
      </c>
      <c r="C30" s="31">
        <v>-0.59</v>
      </c>
      <c r="D30" s="31">
        <v>0.32</v>
      </c>
      <c r="E30" s="31">
        <v>0.169</v>
      </c>
      <c r="F30" s="31">
        <v>0.147</v>
      </c>
      <c r="G30" s="31">
        <v>0.134</v>
      </c>
      <c r="H30" s="31">
        <v>-0.048</v>
      </c>
      <c r="I30" s="356">
        <v>0.079</v>
      </c>
      <c r="J30" s="351">
        <v>0.01</v>
      </c>
      <c r="K30" s="31">
        <v>0.194</v>
      </c>
      <c r="L30" s="31">
        <v>0.173</v>
      </c>
      <c r="M30" s="31">
        <v>0.134</v>
      </c>
      <c r="N30" s="31">
        <v>0.081</v>
      </c>
      <c r="O30" s="31">
        <v>-0.037</v>
      </c>
      <c r="P30" s="31">
        <v>0.419</v>
      </c>
      <c r="Q30" s="31">
        <v>0.005</v>
      </c>
      <c r="R30" s="50">
        <v>19.5</v>
      </c>
      <c r="S30" s="31">
        <v>-0.01</v>
      </c>
      <c r="T30" s="31">
        <v>-0.065</v>
      </c>
      <c r="U30" s="31">
        <v>0.124</v>
      </c>
      <c r="V30" s="31">
        <v>-0.168</v>
      </c>
      <c r="W30" s="349">
        <v>-0.574</v>
      </c>
      <c r="X30" s="31">
        <v>-0.131</v>
      </c>
      <c r="Y30" s="31">
        <v>0.069</v>
      </c>
      <c r="Z30" s="31">
        <v>-0.057</v>
      </c>
      <c r="AA30" s="31">
        <v>0.14</v>
      </c>
      <c r="AB30" s="31">
        <v>0.077</v>
      </c>
      <c r="AC30" s="31">
        <v>0.071</v>
      </c>
      <c r="AD30" s="31">
        <v>-0.752</v>
      </c>
      <c r="AE30" s="31">
        <v>0.273</v>
      </c>
      <c r="AF30" s="31">
        <v>0.058</v>
      </c>
      <c r="AG30" s="31">
        <v>0.135</v>
      </c>
      <c r="AH30" s="31">
        <v>-0.033</v>
      </c>
      <c r="AI30" s="31">
        <v>0.019</v>
      </c>
      <c r="AJ30" s="31">
        <v>0.04</v>
      </c>
      <c r="AK30" s="31">
        <v>0</v>
      </c>
      <c r="AL30" s="31">
        <v>0.074</v>
      </c>
      <c r="AM30" s="31">
        <v>0.046</v>
      </c>
      <c r="AN30" s="31">
        <v>-0.068</v>
      </c>
      <c r="AO30" s="31">
        <v>0.421</v>
      </c>
      <c r="AP30" s="31">
        <v>-0.434</v>
      </c>
      <c r="AQ30" s="31">
        <v>-0.68</v>
      </c>
      <c r="AR30" s="31">
        <v>0.026</v>
      </c>
      <c r="AS30" s="351">
        <v>-0.81</v>
      </c>
      <c r="AT30" s="31">
        <v>-0.707</v>
      </c>
      <c r="AU30" s="235">
        <v>0.026</v>
      </c>
      <c r="AV30" s="31">
        <v>-0.05</v>
      </c>
      <c r="AW30" s="31">
        <v>-0.834</v>
      </c>
      <c r="AX30" s="31">
        <v>-0.025</v>
      </c>
      <c r="AY30" s="31">
        <v>-0.01</v>
      </c>
      <c r="AZ30" s="31">
        <v>-0.688</v>
      </c>
      <c r="BA30" s="31">
        <v>-0.832</v>
      </c>
      <c r="BB30" s="31">
        <v>-0.972</v>
      </c>
      <c r="BC30" s="31"/>
      <c r="BD30" s="30">
        <v>-1.008</v>
      </c>
      <c r="BF30" s="31"/>
      <c r="BG30" s="31"/>
      <c r="BH30" s="7"/>
      <c r="BI30" s="7"/>
    </row>
    <row r="31" spans="1:61" ht="12.75">
      <c r="A31" s="74"/>
      <c r="B31" s="23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93"/>
      <c r="BD31" s="247"/>
      <c r="BF31" s="26"/>
      <c r="BG31" s="26"/>
      <c r="BH31" s="5"/>
      <c r="BI31" s="5"/>
    </row>
    <row r="32" spans="1:168" s="91" customFormat="1" ht="12.75">
      <c r="A32" s="9" t="s">
        <v>223</v>
      </c>
      <c r="B32" s="121"/>
      <c r="C32" s="88"/>
      <c r="D32" s="88"/>
      <c r="E32" s="89"/>
      <c r="F32" s="89"/>
      <c r="G32" s="89"/>
      <c r="H32" s="89"/>
      <c r="I32" s="89"/>
      <c r="K32" s="289" t="s">
        <v>501</v>
      </c>
      <c r="L32" s="89"/>
      <c r="M32" s="123" t="s">
        <v>494</v>
      </c>
      <c r="N32" s="89"/>
      <c r="O32" s="123"/>
      <c r="P32" s="89"/>
      <c r="Q32" s="89"/>
      <c r="R32" s="89"/>
      <c r="S32" s="89"/>
      <c r="T32" s="89"/>
      <c r="U32" s="89"/>
      <c r="V32" s="89"/>
      <c r="W32" s="88"/>
      <c r="X32" s="89"/>
      <c r="Y32" s="88"/>
      <c r="Z32" s="89"/>
      <c r="AA32" s="88"/>
      <c r="AB32" s="88"/>
      <c r="AC32" s="88"/>
      <c r="AD32" s="88"/>
      <c r="AE32" s="123" t="s">
        <v>494</v>
      </c>
      <c r="AF32" s="89"/>
      <c r="AG32" s="89"/>
      <c r="AH32" s="88"/>
      <c r="AI32" s="88"/>
      <c r="AJ32" s="89"/>
      <c r="AK32" s="89"/>
      <c r="AL32" s="88"/>
      <c r="AM32" s="88"/>
      <c r="AN32" s="88"/>
      <c r="AO32" s="89"/>
      <c r="AP32" s="134"/>
      <c r="AQ32" s="88"/>
      <c r="AR32" s="88"/>
      <c r="AS32" s="89"/>
      <c r="AT32" s="88"/>
      <c r="AU32" s="88"/>
      <c r="AV32" s="88"/>
      <c r="AW32" s="88"/>
      <c r="AX32" s="88"/>
      <c r="AY32" s="88"/>
      <c r="AZ32" s="88"/>
      <c r="BA32" s="88"/>
      <c r="BB32" s="39"/>
      <c r="BC32" s="89"/>
      <c r="BD32" s="246"/>
      <c r="BF32" s="88"/>
      <c r="BG32" s="88"/>
      <c r="BH32" s="92"/>
      <c r="BI32" s="92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</row>
    <row r="33" spans="1:168" s="91" customFormat="1" ht="11.25">
      <c r="A33" s="142"/>
      <c r="B33" s="121"/>
      <c r="C33" s="88"/>
      <c r="D33" s="88"/>
      <c r="E33" s="89"/>
      <c r="F33" s="89"/>
      <c r="G33" s="89"/>
      <c r="H33" s="89"/>
      <c r="I33" s="89"/>
      <c r="K33" s="89"/>
      <c r="L33" s="89"/>
      <c r="M33" s="123" t="s">
        <v>493</v>
      </c>
      <c r="N33" s="89"/>
      <c r="O33" s="89"/>
      <c r="P33" s="89"/>
      <c r="Q33" s="89"/>
      <c r="R33" s="89"/>
      <c r="S33" s="89"/>
      <c r="T33" s="89"/>
      <c r="U33" s="89"/>
      <c r="V33" s="89"/>
      <c r="W33" s="88"/>
      <c r="X33" s="89"/>
      <c r="Y33" s="88"/>
      <c r="Z33" s="89"/>
      <c r="AA33" s="88"/>
      <c r="AB33" s="88"/>
      <c r="AC33" s="88"/>
      <c r="AD33" s="88"/>
      <c r="AE33" s="123" t="s">
        <v>493</v>
      </c>
      <c r="AF33" s="89"/>
      <c r="AG33" s="89"/>
      <c r="AH33" s="88"/>
      <c r="AI33" s="88"/>
      <c r="AJ33" s="89"/>
      <c r="AK33" s="89"/>
      <c r="AL33" s="88"/>
      <c r="AM33" s="88"/>
      <c r="AN33" s="88"/>
      <c r="AO33" s="89"/>
      <c r="AP33" s="134"/>
      <c r="AQ33" s="88"/>
      <c r="AR33" s="88"/>
      <c r="AS33" s="89"/>
      <c r="AT33" s="88"/>
      <c r="AU33" s="88"/>
      <c r="AV33" s="88"/>
      <c r="AW33" s="88"/>
      <c r="AX33" s="88"/>
      <c r="AY33" s="88"/>
      <c r="AZ33" s="88"/>
      <c r="BA33" s="88"/>
      <c r="BB33" s="39"/>
      <c r="BC33" s="88"/>
      <c r="BD33" s="246"/>
      <c r="BF33" s="88"/>
      <c r="BG33" s="88"/>
      <c r="BH33" s="92"/>
      <c r="BI33" s="92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</row>
    <row r="34" spans="1:168" s="69" customFormat="1" ht="12.75">
      <c r="A34" s="9"/>
      <c r="B34" s="71"/>
      <c r="D34" s="33"/>
      <c r="E34" s="32"/>
      <c r="F34" s="32"/>
      <c r="G34" s="32"/>
      <c r="H34" s="32"/>
      <c r="I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  <c r="X34" s="32"/>
      <c r="Y34" s="33"/>
      <c r="Z34" s="32"/>
      <c r="AA34" s="33"/>
      <c r="AB34" s="33"/>
      <c r="AC34" s="33"/>
      <c r="AD34" s="33"/>
      <c r="AE34" s="32"/>
      <c r="AF34" s="32"/>
      <c r="AG34" s="32"/>
      <c r="AH34" s="33"/>
      <c r="AI34" s="33"/>
      <c r="AJ34" s="32"/>
      <c r="AK34" s="32"/>
      <c r="AL34" s="33"/>
      <c r="AM34" s="33"/>
      <c r="AN34" s="33"/>
      <c r="AO34" s="32"/>
      <c r="AP34" s="31"/>
      <c r="AQ34" s="33"/>
      <c r="AR34" s="33"/>
      <c r="AS34" s="32"/>
      <c r="AT34" s="33"/>
      <c r="AU34" s="33"/>
      <c r="AV34" s="33"/>
      <c r="AW34" s="33"/>
      <c r="AX34" s="33"/>
      <c r="AY34" s="33"/>
      <c r="AZ34" s="33"/>
      <c r="BA34" s="33"/>
      <c r="BB34" s="2"/>
      <c r="BC34" s="33"/>
      <c r="BD34" s="20"/>
      <c r="BF34" s="33"/>
      <c r="BG34" s="33"/>
      <c r="BH34" s="34"/>
      <c r="BI34" s="34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</row>
    <row r="35" spans="1:168" s="69" customFormat="1" ht="12.75">
      <c r="A35" s="20"/>
      <c r="B35" s="238"/>
      <c r="D35" s="33"/>
      <c r="E35" s="32"/>
      <c r="F35" s="32"/>
      <c r="G35" s="32"/>
      <c r="H35" s="32"/>
      <c r="I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2"/>
      <c r="Y35" s="33"/>
      <c r="Z35" s="32"/>
      <c r="AA35" s="33"/>
      <c r="AB35" s="33"/>
      <c r="AC35" s="33"/>
      <c r="AD35" s="33"/>
      <c r="AE35" s="32"/>
      <c r="AF35" s="32"/>
      <c r="AG35" s="32"/>
      <c r="AH35" s="33"/>
      <c r="AI35" s="33"/>
      <c r="AJ35" s="32"/>
      <c r="AK35" s="32"/>
      <c r="AL35" s="33"/>
      <c r="AM35" s="33"/>
      <c r="AN35" s="33"/>
      <c r="AO35" s="32"/>
      <c r="AP35" s="31"/>
      <c r="AQ35" s="33"/>
      <c r="AR35" s="33"/>
      <c r="AS35" s="32"/>
      <c r="AT35" s="33"/>
      <c r="AU35" s="33"/>
      <c r="AV35" s="33"/>
      <c r="AW35" s="33"/>
      <c r="AX35" s="33"/>
      <c r="AY35" s="33"/>
      <c r="AZ35" s="33"/>
      <c r="BA35" s="33"/>
      <c r="BB35" s="2"/>
      <c r="BC35" s="33"/>
      <c r="BD35" s="20"/>
      <c r="BF35" s="33"/>
      <c r="BG35" s="33"/>
      <c r="BH35" s="34"/>
      <c r="BI35" s="34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</row>
    <row r="36" spans="1:168" s="117" customFormat="1" ht="12">
      <c r="A36" s="248"/>
      <c r="B36" s="249"/>
      <c r="C36" s="169" t="s">
        <v>445</v>
      </c>
      <c r="D36" s="268"/>
      <c r="E36" s="169"/>
      <c r="F36" s="268"/>
      <c r="G36" s="268"/>
      <c r="H36" s="169"/>
      <c r="I36" s="268"/>
      <c r="J36" s="169" t="s">
        <v>445</v>
      </c>
      <c r="K36" s="169"/>
      <c r="L36" s="268"/>
      <c r="N36" s="267"/>
      <c r="O36" s="169"/>
      <c r="Q36" s="169" t="s">
        <v>445</v>
      </c>
      <c r="R36" s="169"/>
      <c r="S36" s="268"/>
      <c r="T36" s="268"/>
      <c r="U36" s="169"/>
      <c r="W36" s="169" t="s">
        <v>445</v>
      </c>
      <c r="X36" s="268"/>
      <c r="Y36" s="266"/>
      <c r="Z36" s="268"/>
      <c r="AA36" s="266"/>
      <c r="AB36" s="266"/>
      <c r="AD36" s="169" t="s">
        <v>445</v>
      </c>
      <c r="AE36" s="268"/>
      <c r="AG36" s="268"/>
      <c r="AH36" s="169"/>
      <c r="AI36" s="266"/>
      <c r="AJ36" s="169" t="s">
        <v>445</v>
      </c>
      <c r="AK36" s="268"/>
      <c r="AL36" s="266"/>
      <c r="AM36" s="267"/>
      <c r="AN36" s="169"/>
      <c r="AO36" s="268"/>
      <c r="AQ36" s="169" t="s">
        <v>445</v>
      </c>
      <c r="AR36" s="266"/>
      <c r="AS36" s="169"/>
      <c r="AU36" s="266"/>
      <c r="AV36" s="266"/>
      <c r="AW36" s="266"/>
      <c r="AX36" s="266"/>
      <c r="AY36" s="169"/>
      <c r="BA36" s="267"/>
      <c r="BB36" s="269"/>
      <c r="BC36" s="266"/>
      <c r="BD36" s="248"/>
      <c r="BE36" s="169"/>
      <c r="BG36" s="266"/>
      <c r="BH36" s="270"/>
      <c r="BI36" s="270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  <c r="FL36" s="266"/>
    </row>
    <row r="37" spans="1:168" s="117" customFormat="1" ht="12">
      <c r="A37" s="248"/>
      <c r="B37" s="249"/>
      <c r="C37" s="148" t="s">
        <v>534</v>
      </c>
      <c r="D37" s="268"/>
      <c r="E37" s="148"/>
      <c r="F37" s="268"/>
      <c r="G37" s="268"/>
      <c r="H37" s="148"/>
      <c r="I37" s="268"/>
      <c r="J37" s="148" t="s">
        <v>534</v>
      </c>
      <c r="K37" s="148"/>
      <c r="L37" s="268"/>
      <c r="N37" s="270"/>
      <c r="O37" s="148"/>
      <c r="Q37" s="148" t="s">
        <v>534</v>
      </c>
      <c r="R37" s="148"/>
      <c r="S37" s="268"/>
      <c r="T37" s="268"/>
      <c r="U37" s="148"/>
      <c r="W37" s="148" t="s">
        <v>534</v>
      </c>
      <c r="X37" s="268"/>
      <c r="Y37" s="266"/>
      <c r="Z37" s="268"/>
      <c r="AA37" s="266"/>
      <c r="AB37" s="266"/>
      <c r="AD37" s="148" t="s">
        <v>534</v>
      </c>
      <c r="AE37" s="268"/>
      <c r="AG37" s="268"/>
      <c r="AH37" s="148"/>
      <c r="AI37" s="266"/>
      <c r="AJ37" s="148" t="s">
        <v>534</v>
      </c>
      <c r="AK37" s="268"/>
      <c r="AL37" s="266"/>
      <c r="AM37" s="270"/>
      <c r="AN37" s="148"/>
      <c r="AO37" s="268"/>
      <c r="AQ37" s="148" t="s">
        <v>534</v>
      </c>
      <c r="AR37" s="266"/>
      <c r="AS37" s="148"/>
      <c r="AU37" s="266"/>
      <c r="AV37" s="266"/>
      <c r="AW37" s="169" t="s">
        <v>445</v>
      </c>
      <c r="AX37" s="266"/>
      <c r="AY37" s="148"/>
      <c r="BA37" s="270"/>
      <c r="BB37" s="269"/>
      <c r="BC37" s="169" t="s">
        <v>445</v>
      </c>
      <c r="BE37" s="148"/>
      <c r="BG37" s="266"/>
      <c r="BH37" s="270"/>
      <c r="BI37" s="169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  <c r="FL37" s="266"/>
    </row>
    <row r="38" spans="1:168" s="117" customFormat="1" ht="12">
      <c r="A38" s="248"/>
      <c r="B38" s="249"/>
      <c r="C38" s="148" t="s">
        <v>453</v>
      </c>
      <c r="D38" s="268"/>
      <c r="E38" s="148"/>
      <c r="F38" s="268"/>
      <c r="G38" s="268"/>
      <c r="H38" s="148"/>
      <c r="I38" s="268"/>
      <c r="J38" s="148" t="s">
        <v>453</v>
      </c>
      <c r="K38" s="148"/>
      <c r="L38" s="268"/>
      <c r="N38" s="270"/>
      <c r="O38" s="148"/>
      <c r="Q38" s="148" t="s">
        <v>453</v>
      </c>
      <c r="R38" s="148"/>
      <c r="S38" s="268"/>
      <c r="T38" s="268"/>
      <c r="U38" s="148"/>
      <c r="W38" s="148" t="s">
        <v>453</v>
      </c>
      <c r="X38" s="268"/>
      <c r="Y38" s="266"/>
      <c r="Z38" s="268"/>
      <c r="AA38" s="266"/>
      <c r="AB38" s="266"/>
      <c r="AD38" s="148" t="s">
        <v>453</v>
      </c>
      <c r="AE38" s="268"/>
      <c r="AG38" s="268"/>
      <c r="AH38" s="148"/>
      <c r="AI38" s="266"/>
      <c r="AJ38" s="148" t="s">
        <v>453</v>
      </c>
      <c r="AK38" s="268"/>
      <c r="AL38" s="266"/>
      <c r="AM38" s="270"/>
      <c r="AN38" s="148"/>
      <c r="AO38" s="268"/>
      <c r="AQ38" s="148" t="s">
        <v>453</v>
      </c>
      <c r="AR38" s="266"/>
      <c r="AS38" s="148"/>
      <c r="AU38" s="266"/>
      <c r="AV38" s="266"/>
      <c r="AW38" s="148" t="s">
        <v>534</v>
      </c>
      <c r="AX38" s="266"/>
      <c r="AY38" s="148"/>
      <c r="BA38" s="270"/>
      <c r="BB38" s="269"/>
      <c r="BC38" s="148" t="s">
        <v>534</v>
      </c>
      <c r="BE38" s="148"/>
      <c r="BG38" s="266"/>
      <c r="BH38" s="270"/>
      <c r="BI38" s="148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6"/>
      <c r="ET38" s="266"/>
      <c r="EU38" s="266"/>
      <c r="EV38" s="266"/>
      <c r="EW38" s="266"/>
      <c r="EX38" s="266"/>
      <c r="EY38" s="266"/>
      <c r="EZ38" s="266"/>
      <c r="FA38" s="266"/>
      <c r="FB38" s="266"/>
      <c r="FC38" s="266"/>
      <c r="FD38" s="266"/>
      <c r="FE38" s="266"/>
      <c r="FF38" s="266"/>
      <c r="FG38" s="266"/>
      <c r="FH38" s="266"/>
      <c r="FI38" s="266"/>
      <c r="FJ38" s="266"/>
      <c r="FK38" s="266"/>
      <c r="FL38" s="266"/>
    </row>
    <row r="39" spans="1:168" s="117" customFormat="1" ht="12">
      <c r="A39" s="248"/>
      <c r="B39" s="249"/>
      <c r="C39" s="148" t="s">
        <v>446</v>
      </c>
      <c r="D39" s="268"/>
      <c r="E39" s="148"/>
      <c r="F39" s="268"/>
      <c r="G39" s="268"/>
      <c r="H39" s="148"/>
      <c r="I39" s="268"/>
      <c r="J39" s="148" t="s">
        <v>446</v>
      </c>
      <c r="K39" s="148"/>
      <c r="L39" s="268"/>
      <c r="N39" s="270"/>
      <c r="O39" s="148"/>
      <c r="Q39" s="148" t="s">
        <v>446</v>
      </c>
      <c r="R39" s="148"/>
      <c r="S39" s="268"/>
      <c r="T39" s="268"/>
      <c r="U39" s="148"/>
      <c r="W39" s="148" t="s">
        <v>446</v>
      </c>
      <c r="X39" s="268"/>
      <c r="Y39" s="266"/>
      <c r="Z39" s="268"/>
      <c r="AA39" s="266"/>
      <c r="AB39" s="266"/>
      <c r="AD39" s="148" t="s">
        <v>446</v>
      </c>
      <c r="AE39" s="268"/>
      <c r="AG39" s="268"/>
      <c r="AH39" s="148"/>
      <c r="AI39" s="266"/>
      <c r="AJ39" s="148" t="s">
        <v>446</v>
      </c>
      <c r="AK39" s="268"/>
      <c r="AL39" s="266"/>
      <c r="AM39" s="270"/>
      <c r="AN39" s="148"/>
      <c r="AO39" s="268"/>
      <c r="AQ39" s="148" t="s">
        <v>446</v>
      </c>
      <c r="AR39" s="266"/>
      <c r="AS39" s="148"/>
      <c r="AU39" s="266"/>
      <c r="AV39" s="266"/>
      <c r="AW39" s="148" t="s">
        <v>453</v>
      </c>
      <c r="AX39" s="266"/>
      <c r="AY39" s="148"/>
      <c r="BA39" s="270"/>
      <c r="BB39" s="269"/>
      <c r="BC39" s="148" t="s">
        <v>453</v>
      </c>
      <c r="BE39" s="148"/>
      <c r="BG39" s="266"/>
      <c r="BH39" s="270"/>
      <c r="BI39" s="148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  <c r="DO39" s="266"/>
      <c r="DP39" s="266"/>
      <c r="DQ39" s="266"/>
      <c r="DR39" s="266"/>
      <c r="DS39" s="266"/>
      <c r="DT39" s="266"/>
      <c r="DU39" s="266"/>
      <c r="DV39" s="266"/>
      <c r="DW39" s="266"/>
      <c r="DX39" s="266"/>
      <c r="DY39" s="266"/>
      <c r="DZ39" s="266"/>
      <c r="EA39" s="266"/>
      <c r="EB39" s="266"/>
      <c r="EC39" s="266"/>
      <c r="ED39" s="266"/>
      <c r="EE39" s="266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266"/>
      <c r="EW39" s="266"/>
      <c r="EX39" s="266"/>
      <c r="EY39" s="266"/>
      <c r="EZ39" s="266"/>
      <c r="FA39" s="266"/>
      <c r="FB39" s="266"/>
      <c r="FC39" s="266"/>
      <c r="FD39" s="266"/>
      <c r="FE39" s="266"/>
      <c r="FF39" s="266"/>
      <c r="FG39" s="266"/>
      <c r="FH39" s="266"/>
      <c r="FI39" s="266"/>
      <c r="FJ39" s="266"/>
      <c r="FK39" s="266"/>
      <c r="FL39" s="266"/>
    </row>
    <row r="40" spans="1:168" s="117" customFormat="1" ht="12">
      <c r="A40" s="248"/>
      <c r="B40" s="249"/>
      <c r="C40" s="148" t="s">
        <v>447</v>
      </c>
      <c r="D40" s="268"/>
      <c r="E40" s="148"/>
      <c r="F40" s="268"/>
      <c r="G40" s="268"/>
      <c r="H40" s="148"/>
      <c r="I40" s="268"/>
      <c r="J40" s="148" t="s">
        <v>447</v>
      </c>
      <c r="K40" s="148"/>
      <c r="L40" s="268"/>
      <c r="N40" s="270"/>
      <c r="O40" s="148"/>
      <c r="Q40" s="148" t="s">
        <v>447</v>
      </c>
      <c r="R40" s="148"/>
      <c r="S40" s="268"/>
      <c r="T40" s="268"/>
      <c r="U40" s="148"/>
      <c r="W40" s="148" t="s">
        <v>447</v>
      </c>
      <c r="X40" s="268"/>
      <c r="Y40" s="266"/>
      <c r="Z40" s="268"/>
      <c r="AA40" s="266"/>
      <c r="AB40" s="266"/>
      <c r="AD40" s="148" t="s">
        <v>447</v>
      </c>
      <c r="AE40" s="268"/>
      <c r="AG40" s="268"/>
      <c r="AH40" s="148"/>
      <c r="AI40" s="266"/>
      <c r="AJ40" s="148" t="s">
        <v>447</v>
      </c>
      <c r="AK40" s="268"/>
      <c r="AL40" s="266"/>
      <c r="AM40" s="270"/>
      <c r="AN40" s="148"/>
      <c r="AO40" s="268"/>
      <c r="AQ40" s="148" t="s">
        <v>447</v>
      </c>
      <c r="AR40" s="266"/>
      <c r="AS40" s="148"/>
      <c r="AU40" s="266"/>
      <c r="AV40" s="266"/>
      <c r="AW40" s="148" t="s">
        <v>446</v>
      </c>
      <c r="AX40" s="266"/>
      <c r="AY40" s="148"/>
      <c r="BA40" s="270"/>
      <c r="BB40" s="269"/>
      <c r="BC40" s="148" t="s">
        <v>446</v>
      </c>
      <c r="BE40" s="148"/>
      <c r="BG40" s="266"/>
      <c r="BH40" s="270"/>
      <c r="BI40" s="148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266"/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6"/>
      <c r="FH40" s="266"/>
      <c r="FI40" s="266"/>
      <c r="FJ40" s="266"/>
      <c r="FK40" s="266"/>
      <c r="FL40" s="266"/>
    </row>
    <row r="41" spans="1:168" s="117" customFormat="1" ht="12">
      <c r="A41" s="248"/>
      <c r="B41" s="249"/>
      <c r="C41" s="148" t="s">
        <v>448</v>
      </c>
      <c r="D41" s="268"/>
      <c r="E41" s="148"/>
      <c r="F41" s="268"/>
      <c r="G41" s="268"/>
      <c r="H41" s="148"/>
      <c r="I41" s="268"/>
      <c r="J41" s="148" t="s">
        <v>448</v>
      </c>
      <c r="K41" s="148"/>
      <c r="L41" s="268"/>
      <c r="N41" s="270"/>
      <c r="O41" s="148"/>
      <c r="Q41" s="148" t="s">
        <v>448</v>
      </c>
      <c r="R41" s="148"/>
      <c r="S41" s="268"/>
      <c r="T41" s="268"/>
      <c r="U41" s="148"/>
      <c r="W41" s="148" t="s">
        <v>448</v>
      </c>
      <c r="X41" s="268"/>
      <c r="Y41" s="266"/>
      <c r="Z41" s="268"/>
      <c r="AA41" s="266"/>
      <c r="AB41" s="266"/>
      <c r="AD41" s="148" t="s">
        <v>448</v>
      </c>
      <c r="AE41" s="268"/>
      <c r="AG41" s="268"/>
      <c r="AH41" s="148"/>
      <c r="AI41" s="266"/>
      <c r="AJ41" s="148" t="s">
        <v>448</v>
      </c>
      <c r="AK41" s="268"/>
      <c r="AL41" s="266"/>
      <c r="AM41" s="270"/>
      <c r="AN41" s="148"/>
      <c r="AO41" s="268"/>
      <c r="AQ41" s="148" t="s">
        <v>448</v>
      </c>
      <c r="AR41" s="266"/>
      <c r="AS41" s="148"/>
      <c r="AU41" s="266"/>
      <c r="AV41" s="266"/>
      <c r="AW41" s="148" t="s">
        <v>447</v>
      </c>
      <c r="AX41" s="266"/>
      <c r="AY41" s="148"/>
      <c r="BA41" s="270"/>
      <c r="BB41" s="269"/>
      <c r="BC41" s="148" t="s">
        <v>447</v>
      </c>
      <c r="BE41" s="148"/>
      <c r="BG41" s="266"/>
      <c r="BH41" s="270"/>
      <c r="BI41" s="148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  <c r="FL41" s="266"/>
    </row>
    <row r="42" spans="1:168" s="117" customFormat="1" ht="12">
      <c r="A42" s="248"/>
      <c r="B42" s="249"/>
      <c r="C42" s="148" t="s">
        <v>535</v>
      </c>
      <c r="D42" s="268"/>
      <c r="E42" s="148"/>
      <c r="F42" s="268"/>
      <c r="G42" s="268"/>
      <c r="H42" s="148"/>
      <c r="I42" s="268"/>
      <c r="J42" s="148" t="s">
        <v>535</v>
      </c>
      <c r="K42" s="148"/>
      <c r="L42" s="268"/>
      <c r="N42" s="270"/>
      <c r="O42" s="148"/>
      <c r="Q42" s="148" t="s">
        <v>535</v>
      </c>
      <c r="R42" s="148"/>
      <c r="S42" s="268"/>
      <c r="T42" s="268"/>
      <c r="U42" s="148"/>
      <c r="W42" s="148" t="s">
        <v>535</v>
      </c>
      <c r="X42" s="268"/>
      <c r="Y42" s="266"/>
      <c r="Z42" s="268"/>
      <c r="AA42" s="266"/>
      <c r="AB42" s="266"/>
      <c r="AD42" s="148" t="s">
        <v>535</v>
      </c>
      <c r="AE42" s="268"/>
      <c r="AG42" s="268"/>
      <c r="AH42" s="148"/>
      <c r="AI42" s="266"/>
      <c r="AJ42" s="148" t="s">
        <v>535</v>
      </c>
      <c r="AK42" s="268"/>
      <c r="AL42" s="266"/>
      <c r="AM42" s="270"/>
      <c r="AN42" s="148"/>
      <c r="AO42" s="268"/>
      <c r="AQ42" s="148" t="s">
        <v>535</v>
      </c>
      <c r="AR42" s="266"/>
      <c r="AS42" s="148"/>
      <c r="AU42" s="266"/>
      <c r="AV42" s="266"/>
      <c r="AW42" s="148" t="s">
        <v>448</v>
      </c>
      <c r="AX42" s="266"/>
      <c r="AY42" s="148"/>
      <c r="BA42" s="270"/>
      <c r="BB42" s="269"/>
      <c r="BC42" s="148" t="s">
        <v>448</v>
      </c>
      <c r="BE42" s="148"/>
      <c r="BG42" s="266"/>
      <c r="BH42" s="270"/>
      <c r="BI42" s="148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6"/>
      <c r="FH42" s="266"/>
      <c r="FI42" s="266"/>
      <c r="FJ42" s="266"/>
      <c r="FK42" s="266"/>
      <c r="FL42" s="266"/>
    </row>
    <row r="43" spans="1:168" s="117" customFormat="1" ht="12">
      <c r="A43" s="248"/>
      <c r="B43" s="249"/>
      <c r="C43" s="148" t="s">
        <v>536</v>
      </c>
      <c r="D43" s="268"/>
      <c r="E43" s="148"/>
      <c r="F43" s="268"/>
      <c r="G43" s="268"/>
      <c r="H43" s="148"/>
      <c r="I43" s="268"/>
      <c r="J43" s="148" t="s">
        <v>536</v>
      </c>
      <c r="K43" s="148"/>
      <c r="L43" s="268"/>
      <c r="N43" s="270"/>
      <c r="O43" s="148"/>
      <c r="Q43" s="148" t="s">
        <v>536</v>
      </c>
      <c r="R43" s="148"/>
      <c r="S43" s="268"/>
      <c r="T43" s="268"/>
      <c r="U43" s="148"/>
      <c r="W43" s="148" t="s">
        <v>536</v>
      </c>
      <c r="X43" s="268"/>
      <c r="Y43" s="266"/>
      <c r="Z43" s="268"/>
      <c r="AA43" s="266"/>
      <c r="AB43" s="266"/>
      <c r="AD43" s="148" t="s">
        <v>536</v>
      </c>
      <c r="AE43" s="268"/>
      <c r="AG43" s="268"/>
      <c r="AH43" s="148"/>
      <c r="AI43" s="266"/>
      <c r="AJ43" s="148" t="s">
        <v>536</v>
      </c>
      <c r="AK43" s="268"/>
      <c r="AL43" s="266"/>
      <c r="AM43" s="270"/>
      <c r="AN43" s="148"/>
      <c r="AO43" s="268"/>
      <c r="AQ43" s="148" t="s">
        <v>536</v>
      </c>
      <c r="AR43" s="266"/>
      <c r="AS43" s="148"/>
      <c r="AU43" s="266"/>
      <c r="AV43" s="266"/>
      <c r="AW43" s="148" t="s">
        <v>535</v>
      </c>
      <c r="AX43" s="266"/>
      <c r="AY43" s="148"/>
      <c r="BA43" s="270"/>
      <c r="BB43" s="269"/>
      <c r="BC43" s="148" t="s">
        <v>535</v>
      </c>
      <c r="BE43" s="148"/>
      <c r="BG43" s="266"/>
      <c r="BH43" s="270"/>
      <c r="BI43" s="148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</row>
    <row r="44" spans="1:168" s="117" customFormat="1" ht="12">
      <c r="A44" s="248"/>
      <c r="B44" s="249"/>
      <c r="C44" s="148" t="s">
        <v>449</v>
      </c>
      <c r="D44" s="268"/>
      <c r="E44" s="148"/>
      <c r="F44" s="268"/>
      <c r="G44" s="268"/>
      <c r="H44" s="148"/>
      <c r="I44" s="268"/>
      <c r="J44" s="148" t="s">
        <v>449</v>
      </c>
      <c r="K44" s="148"/>
      <c r="L44" s="268"/>
      <c r="N44" s="148"/>
      <c r="O44" s="148"/>
      <c r="Q44" s="148" t="s">
        <v>449</v>
      </c>
      <c r="R44" s="148"/>
      <c r="S44" s="268"/>
      <c r="T44" s="268"/>
      <c r="U44" s="148"/>
      <c r="W44" s="148" t="s">
        <v>449</v>
      </c>
      <c r="X44" s="268"/>
      <c r="Y44" s="266"/>
      <c r="Z44" s="268"/>
      <c r="AA44" s="266"/>
      <c r="AB44" s="266"/>
      <c r="AD44" s="148" t="s">
        <v>449</v>
      </c>
      <c r="AE44" s="268"/>
      <c r="AG44" s="268"/>
      <c r="AH44" s="148"/>
      <c r="AI44" s="266"/>
      <c r="AJ44" s="148" t="s">
        <v>449</v>
      </c>
      <c r="AK44" s="268"/>
      <c r="AL44" s="266"/>
      <c r="AM44" s="148"/>
      <c r="AN44" s="148"/>
      <c r="AO44" s="268"/>
      <c r="AQ44" s="148" t="s">
        <v>449</v>
      </c>
      <c r="AR44" s="266"/>
      <c r="AS44" s="148"/>
      <c r="AU44" s="266"/>
      <c r="AV44" s="266"/>
      <c r="AW44" s="148" t="s">
        <v>536</v>
      </c>
      <c r="AX44" s="266"/>
      <c r="AY44" s="148"/>
      <c r="BA44" s="148"/>
      <c r="BB44" s="269"/>
      <c r="BC44" s="148" t="s">
        <v>536</v>
      </c>
      <c r="BE44" s="148"/>
      <c r="BG44" s="266"/>
      <c r="BH44" s="270"/>
      <c r="BI44" s="148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6"/>
      <c r="FH44" s="266"/>
      <c r="FI44" s="266"/>
      <c r="FJ44" s="266"/>
      <c r="FK44" s="266"/>
      <c r="FL44" s="266"/>
    </row>
    <row r="45" spans="1:168" s="117" customFormat="1" ht="12">
      <c r="A45" s="248"/>
      <c r="B45" s="249"/>
      <c r="C45" s="148" t="s">
        <v>450</v>
      </c>
      <c r="D45" s="268"/>
      <c r="E45" s="148"/>
      <c r="F45" s="268"/>
      <c r="G45" s="268"/>
      <c r="H45" s="148"/>
      <c r="I45" s="268"/>
      <c r="J45" s="148" t="s">
        <v>450</v>
      </c>
      <c r="K45" s="148"/>
      <c r="L45" s="268"/>
      <c r="N45" s="148"/>
      <c r="O45" s="148"/>
      <c r="Q45" s="148" t="s">
        <v>450</v>
      </c>
      <c r="R45" s="148"/>
      <c r="S45" s="268"/>
      <c r="T45" s="268"/>
      <c r="U45" s="148"/>
      <c r="W45" s="148" t="s">
        <v>450</v>
      </c>
      <c r="X45" s="268"/>
      <c r="Y45" s="266"/>
      <c r="Z45" s="268"/>
      <c r="AA45" s="266"/>
      <c r="AB45" s="266"/>
      <c r="AD45" s="148" t="s">
        <v>450</v>
      </c>
      <c r="AE45" s="268"/>
      <c r="AG45" s="268"/>
      <c r="AH45" s="148"/>
      <c r="AI45" s="266"/>
      <c r="AJ45" s="148" t="s">
        <v>450</v>
      </c>
      <c r="AK45" s="268"/>
      <c r="AL45" s="266"/>
      <c r="AM45" s="148"/>
      <c r="AN45" s="148"/>
      <c r="AO45" s="268"/>
      <c r="AQ45" s="148" t="s">
        <v>450</v>
      </c>
      <c r="AR45" s="266"/>
      <c r="AS45" s="148"/>
      <c r="AU45" s="266"/>
      <c r="AV45" s="266"/>
      <c r="AW45" s="148" t="s">
        <v>449</v>
      </c>
      <c r="AX45" s="266"/>
      <c r="AY45" s="148"/>
      <c r="BA45" s="148"/>
      <c r="BB45" s="269"/>
      <c r="BC45" s="148" t="s">
        <v>449</v>
      </c>
      <c r="BE45" s="148"/>
      <c r="BG45" s="266"/>
      <c r="BH45" s="270"/>
      <c r="BI45" s="148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6"/>
      <c r="FL45" s="266"/>
    </row>
    <row r="46" spans="1:168" s="117" customFormat="1" ht="12">
      <c r="A46" s="248"/>
      <c r="B46" s="249"/>
      <c r="C46" s="148" t="s">
        <v>537</v>
      </c>
      <c r="D46" s="268"/>
      <c r="E46" s="148"/>
      <c r="F46" s="268"/>
      <c r="G46" s="268"/>
      <c r="H46" s="148"/>
      <c r="I46" s="268"/>
      <c r="J46" s="148" t="s">
        <v>537</v>
      </c>
      <c r="K46" s="148"/>
      <c r="L46" s="268"/>
      <c r="N46" s="270"/>
      <c r="O46" s="148"/>
      <c r="Q46" s="148" t="s">
        <v>537</v>
      </c>
      <c r="R46" s="148"/>
      <c r="S46" s="268"/>
      <c r="T46" s="268"/>
      <c r="U46" s="148"/>
      <c r="W46" s="148" t="s">
        <v>537</v>
      </c>
      <c r="X46" s="268"/>
      <c r="Y46" s="266"/>
      <c r="Z46" s="268"/>
      <c r="AA46" s="266"/>
      <c r="AB46" s="266"/>
      <c r="AD46" s="148" t="s">
        <v>537</v>
      </c>
      <c r="AE46" s="268"/>
      <c r="AG46" s="268"/>
      <c r="AH46" s="148"/>
      <c r="AI46" s="266"/>
      <c r="AJ46" s="148" t="s">
        <v>537</v>
      </c>
      <c r="AK46" s="268"/>
      <c r="AL46" s="266"/>
      <c r="AM46" s="270"/>
      <c r="AN46" s="148"/>
      <c r="AO46" s="268"/>
      <c r="AQ46" s="148" t="s">
        <v>537</v>
      </c>
      <c r="AR46" s="266"/>
      <c r="AS46" s="148"/>
      <c r="AU46" s="266"/>
      <c r="AV46" s="266"/>
      <c r="AW46" s="148" t="s">
        <v>450</v>
      </c>
      <c r="AX46" s="266"/>
      <c r="AY46" s="148"/>
      <c r="BA46" s="270"/>
      <c r="BB46" s="269"/>
      <c r="BC46" s="148" t="s">
        <v>450</v>
      </c>
      <c r="BE46" s="148"/>
      <c r="BG46" s="266"/>
      <c r="BH46" s="270"/>
      <c r="BI46" s="148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6"/>
      <c r="FL46" s="266"/>
    </row>
    <row r="47" spans="1:168" s="117" customFormat="1" ht="12">
      <c r="A47" s="248"/>
      <c r="B47" s="249"/>
      <c r="C47" s="148" t="s">
        <v>451</v>
      </c>
      <c r="D47" s="268"/>
      <c r="E47" s="148"/>
      <c r="F47" s="268"/>
      <c r="G47" s="268"/>
      <c r="H47" s="148"/>
      <c r="I47" s="268"/>
      <c r="J47" s="148" t="s">
        <v>451</v>
      </c>
      <c r="K47" s="148"/>
      <c r="L47" s="268"/>
      <c r="N47" s="270"/>
      <c r="O47" s="148"/>
      <c r="Q47" s="148" t="s">
        <v>451</v>
      </c>
      <c r="R47" s="148"/>
      <c r="S47" s="268"/>
      <c r="T47" s="268"/>
      <c r="U47" s="148"/>
      <c r="W47" s="148" t="s">
        <v>451</v>
      </c>
      <c r="X47" s="268"/>
      <c r="Y47" s="266"/>
      <c r="Z47" s="268"/>
      <c r="AA47" s="266"/>
      <c r="AB47" s="266"/>
      <c r="AD47" s="148" t="s">
        <v>451</v>
      </c>
      <c r="AE47" s="268"/>
      <c r="AG47" s="268"/>
      <c r="AH47" s="148"/>
      <c r="AI47" s="266"/>
      <c r="AJ47" s="148" t="s">
        <v>451</v>
      </c>
      <c r="AK47" s="268"/>
      <c r="AL47" s="266"/>
      <c r="AM47" s="270"/>
      <c r="AN47" s="148"/>
      <c r="AO47" s="268"/>
      <c r="AQ47" s="148" t="s">
        <v>451</v>
      </c>
      <c r="AR47" s="266"/>
      <c r="AS47" s="148"/>
      <c r="AU47" s="266"/>
      <c r="AV47" s="266"/>
      <c r="AW47" s="148" t="s">
        <v>537</v>
      </c>
      <c r="AX47" s="266"/>
      <c r="AY47" s="148"/>
      <c r="BA47" s="270"/>
      <c r="BB47" s="269"/>
      <c r="BC47" s="148" t="s">
        <v>537</v>
      </c>
      <c r="BE47" s="148"/>
      <c r="BG47" s="266"/>
      <c r="BH47" s="270"/>
      <c r="BI47" s="148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6"/>
      <c r="FH47" s="266"/>
      <c r="FI47" s="266"/>
      <c r="FJ47" s="266"/>
      <c r="FK47" s="266"/>
      <c r="FL47" s="266"/>
    </row>
    <row r="48" spans="1:168" s="117" customFormat="1" ht="12">
      <c r="A48" s="248"/>
      <c r="B48" s="249"/>
      <c r="C48" s="148" t="s">
        <v>538</v>
      </c>
      <c r="D48" s="268"/>
      <c r="E48" s="148"/>
      <c r="F48" s="268"/>
      <c r="G48" s="268"/>
      <c r="H48" s="148"/>
      <c r="I48" s="268"/>
      <c r="J48" s="148" t="s">
        <v>538</v>
      </c>
      <c r="K48" s="148"/>
      <c r="L48" s="268"/>
      <c r="N48" s="270"/>
      <c r="O48" s="148"/>
      <c r="Q48" s="148" t="s">
        <v>538</v>
      </c>
      <c r="R48" s="148"/>
      <c r="S48" s="268"/>
      <c r="T48" s="268"/>
      <c r="U48" s="148"/>
      <c r="W48" s="148" t="s">
        <v>538</v>
      </c>
      <c r="X48" s="268"/>
      <c r="Y48" s="266"/>
      <c r="Z48" s="268"/>
      <c r="AA48" s="266"/>
      <c r="AB48" s="266"/>
      <c r="AD48" s="148" t="s">
        <v>538</v>
      </c>
      <c r="AE48" s="268"/>
      <c r="AG48" s="268"/>
      <c r="AH48" s="148"/>
      <c r="AI48" s="266"/>
      <c r="AJ48" s="148" t="s">
        <v>538</v>
      </c>
      <c r="AK48" s="268"/>
      <c r="AL48" s="266"/>
      <c r="AM48" s="270"/>
      <c r="AN48" s="148"/>
      <c r="AO48" s="268"/>
      <c r="AQ48" s="148" t="s">
        <v>538</v>
      </c>
      <c r="AR48" s="266"/>
      <c r="AS48" s="148"/>
      <c r="AU48" s="266"/>
      <c r="AV48" s="266"/>
      <c r="AW48" s="148" t="s">
        <v>451</v>
      </c>
      <c r="AX48" s="266"/>
      <c r="AY48" s="148"/>
      <c r="BA48" s="270"/>
      <c r="BB48" s="269"/>
      <c r="BC48" s="148" t="s">
        <v>451</v>
      </c>
      <c r="BE48" s="148"/>
      <c r="BG48" s="266"/>
      <c r="BH48" s="270"/>
      <c r="BI48" s="148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6"/>
      <c r="FL48" s="266"/>
    </row>
    <row r="49" spans="1:168" s="117" customFormat="1" ht="12">
      <c r="A49" s="169"/>
      <c r="B49" s="228"/>
      <c r="C49" s="148" t="s">
        <v>452</v>
      </c>
      <c r="D49" s="268"/>
      <c r="E49" s="148"/>
      <c r="F49" s="268"/>
      <c r="G49" s="268"/>
      <c r="H49" s="148"/>
      <c r="I49" s="268"/>
      <c r="J49" s="148" t="s">
        <v>452</v>
      </c>
      <c r="K49" s="148"/>
      <c r="L49" s="268"/>
      <c r="N49" s="270"/>
      <c r="O49" s="148"/>
      <c r="Q49" s="148" t="s">
        <v>452</v>
      </c>
      <c r="R49" s="148"/>
      <c r="S49" s="268"/>
      <c r="T49" s="268"/>
      <c r="U49" s="148"/>
      <c r="W49" s="148" t="s">
        <v>452</v>
      </c>
      <c r="X49" s="268"/>
      <c r="Y49" s="266"/>
      <c r="Z49" s="268"/>
      <c r="AA49" s="266"/>
      <c r="AB49" s="266"/>
      <c r="AD49" s="148" t="s">
        <v>452</v>
      </c>
      <c r="AE49" s="268"/>
      <c r="AG49" s="268"/>
      <c r="AH49" s="148"/>
      <c r="AI49" s="266"/>
      <c r="AJ49" s="148" t="s">
        <v>452</v>
      </c>
      <c r="AK49" s="268"/>
      <c r="AL49" s="266"/>
      <c r="AM49" s="270"/>
      <c r="AN49" s="148"/>
      <c r="AO49" s="268"/>
      <c r="AQ49" s="148" t="s">
        <v>452</v>
      </c>
      <c r="AR49" s="266"/>
      <c r="AS49" s="148"/>
      <c r="AU49" s="266"/>
      <c r="AV49" s="266"/>
      <c r="AW49" s="148" t="s">
        <v>538</v>
      </c>
      <c r="AX49" s="266"/>
      <c r="AY49" s="148"/>
      <c r="BA49" s="270"/>
      <c r="BB49" s="269"/>
      <c r="BC49" s="148" t="s">
        <v>538</v>
      </c>
      <c r="BE49" s="148"/>
      <c r="BG49" s="266"/>
      <c r="BH49" s="270"/>
      <c r="BI49" s="148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6"/>
      <c r="FC49" s="266"/>
      <c r="FD49" s="266"/>
      <c r="FE49" s="266"/>
      <c r="FF49" s="266"/>
      <c r="FG49" s="266"/>
      <c r="FH49" s="266"/>
      <c r="FI49" s="266"/>
      <c r="FJ49" s="266"/>
      <c r="FK49" s="266"/>
      <c r="FL49" s="266"/>
    </row>
    <row r="50" spans="1:168" s="69" customFormat="1" ht="12.75">
      <c r="A50" s="90"/>
      <c r="B50" s="2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2"/>
      <c r="O50" s="32"/>
      <c r="P50" s="32"/>
      <c r="Q50" s="32"/>
      <c r="R50" s="32"/>
      <c r="S50" s="33"/>
      <c r="T50" s="33"/>
      <c r="U50" s="33"/>
      <c r="V50" s="32"/>
      <c r="W50" s="33"/>
      <c r="X50" s="33"/>
      <c r="Y50" s="33"/>
      <c r="Z50" s="33"/>
      <c r="AA50" s="33"/>
      <c r="AB50" s="33"/>
      <c r="AC50" s="33"/>
      <c r="AD50" s="33"/>
      <c r="AE50" s="32"/>
      <c r="AF50" s="32"/>
      <c r="AG50" s="33"/>
      <c r="AH50" s="33"/>
      <c r="AI50" s="33"/>
      <c r="AJ50" s="33"/>
      <c r="AK50" s="33"/>
      <c r="AL50" s="33"/>
      <c r="AM50" s="33"/>
      <c r="AN50" s="33"/>
      <c r="AO50" s="33"/>
      <c r="AP50" s="32"/>
      <c r="AQ50" s="33"/>
      <c r="AR50" s="33"/>
      <c r="AS50" s="32"/>
      <c r="AU50" s="33"/>
      <c r="AV50" s="33"/>
      <c r="AW50" s="148" t="s">
        <v>452</v>
      </c>
      <c r="AX50" s="33"/>
      <c r="AY50" s="33"/>
      <c r="AZ50" s="33"/>
      <c r="BA50" s="33"/>
      <c r="BB50" s="2"/>
      <c r="BC50" s="148" t="s">
        <v>452</v>
      </c>
      <c r="BF50" s="33"/>
      <c r="BG50" s="33"/>
      <c r="BH50" s="34"/>
      <c r="BI50" s="148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</row>
    <row r="51" spans="1:61" ht="12.75">
      <c r="A51" s="9"/>
      <c r="B51" s="71"/>
      <c r="C51" s="27"/>
      <c r="D51" s="27"/>
      <c r="G51" s="76"/>
      <c r="H51" s="76"/>
      <c r="I51" s="76"/>
      <c r="J51" s="76"/>
      <c r="L51" s="77"/>
      <c r="N51" s="10"/>
      <c r="Q51" s="10"/>
      <c r="R51" s="10"/>
      <c r="V51" s="10"/>
      <c r="W51" s="34"/>
      <c r="Y51" s="34"/>
      <c r="AA51" s="34"/>
      <c r="AB51" s="34"/>
      <c r="AC51" s="35"/>
      <c r="AD51" s="34"/>
      <c r="AF51" s="34"/>
      <c r="AI51" s="34"/>
      <c r="AL51" s="34"/>
      <c r="AM51" s="34"/>
      <c r="AN51" s="34"/>
      <c r="AO51" s="34"/>
      <c r="AP51" s="28"/>
      <c r="AQ51" s="27"/>
      <c r="AR51" s="27"/>
      <c r="AS51" s="9"/>
      <c r="AT51" s="34"/>
      <c r="AU51" s="34"/>
      <c r="AV51" s="27"/>
      <c r="AX51" s="35"/>
      <c r="AY51" s="34"/>
      <c r="AZ51" s="34"/>
      <c r="BA51" s="34"/>
      <c r="BC51" s="34"/>
      <c r="BH51" s="5"/>
      <c r="BI51" s="5"/>
    </row>
    <row r="52" spans="1:61" ht="12.75">
      <c r="A52" s="14" t="s">
        <v>315</v>
      </c>
      <c r="B52" s="71"/>
      <c r="C52" s="34"/>
      <c r="D52" s="34"/>
      <c r="E52" s="34"/>
      <c r="F52" s="34"/>
      <c r="K52" s="34"/>
      <c r="L52" s="34"/>
      <c r="M52" s="34"/>
      <c r="N52" s="10"/>
      <c r="Q52" s="10"/>
      <c r="R52" s="10"/>
      <c r="S52" s="34"/>
      <c r="T52" s="34"/>
      <c r="U52" s="34"/>
      <c r="V52" s="10"/>
      <c r="X52" s="34"/>
      <c r="Z52" s="34"/>
      <c r="AA52" s="34"/>
      <c r="AC52" s="34"/>
      <c r="AD52" s="34"/>
      <c r="AE52" s="10"/>
      <c r="AF52" s="34"/>
      <c r="AG52" s="34"/>
      <c r="AH52" s="34"/>
      <c r="AI52" s="34"/>
      <c r="AJ52" s="34"/>
      <c r="AL52" s="34"/>
      <c r="AM52" s="34"/>
      <c r="AN52" s="34"/>
      <c r="AO52" s="34"/>
      <c r="AP52" s="10"/>
      <c r="AQ52" s="34"/>
      <c r="AR52" s="34"/>
      <c r="AS52" s="10"/>
      <c r="AT52" s="34"/>
      <c r="AV52" s="34"/>
      <c r="BA52" s="34"/>
      <c r="BC52" s="34"/>
      <c r="BD52" s="10"/>
      <c r="BE52" s="34"/>
      <c r="BF52" s="34"/>
      <c r="BG52" s="34"/>
      <c r="BH52" s="5"/>
      <c r="BI52" s="5"/>
    </row>
    <row r="53" spans="1:61" ht="12.75">
      <c r="A53" s="14" t="s">
        <v>209</v>
      </c>
      <c r="B53" s="71"/>
      <c r="E53" s="34"/>
      <c r="F53" s="34"/>
      <c r="L53" s="34"/>
      <c r="M53" s="34"/>
      <c r="N53" s="10"/>
      <c r="Q53" s="10"/>
      <c r="R53" s="10"/>
      <c r="S53" s="34"/>
      <c r="T53" s="34"/>
      <c r="U53" s="34"/>
      <c r="V53" s="10"/>
      <c r="X53" s="34"/>
      <c r="Z53" s="34"/>
      <c r="AA53" s="34"/>
      <c r="AC53" s="34"/>
      <c r="AD53" s="34"/>
      <c r="AF53" s="34"/>
      <c r="AG53" s="34"/>
      <c r="AI53" s="34"/>
      <c r="AL53" s="34"/>
      <c r="AM53" s="34"/>
      <c r="AN53" s="34"/>
      <c r="AO53" s="34"/>
      <c r="AP53" s="10"/>
      <c r="AQ53" s="34"/>
      <c r="AR53" s="34"/>
      <c r="AT53" s="34"/>
      <c r="AV53" s="34"/>
      <c r="BA53" s="34"/>
      <c r="BC53" s="34"/>
      <c r="BD53" s="10"/>
      <c r="BE53" s="34"/>
      <c r="BG53" s="34"/>
      <c r="BH53" s="5"/>
      <c r="BI53" s="5"/>
    </row>
    <row r="54" spans="1:61" ht="12.75">
      <c r="A54" s="10" t="s">
        <v>408</v>
      </c>
      <c r="B54" s="71"/>
      <c r="C54" s="70">
        <f>+'4.1. Samtryggingard.'!B33-'4.1. Samtryggingard.'!B41</f>
        <v>15279785</v>
      </c>
      <c r="D54" s="70">
        <f>+'4.1. Samtryggingard.'!C33-'4.1. Samtryggingard.'!C41</f>
        <v>5323753</v>
      </c>
      <c r="E54" s="70">
        <f>+'4.1. Samtryggingard.'!D33-'4.1. Samtryggingard.'!D41</f>
        <v>20458625</v>
      </c>
      <c r="F54" s="70">
        <f>+'4.1. Samtryggingard.'!E33-'4.1. Samtryggingard.'!E41</f>
        <v>11670711.276</v>
      </c>
      <c r="G54" s="70">
        <f>+'4.1. Samtryggingard.'!F33-'4.1. Samtryggingard.'!F41</f>
        <v>11797222</v>
      </c>
      <c r="H54" s="70">
        <f>+'4.1. Samtryggingard.'!G33-'4.1. Samtryggingard.'!G41</f>
        <v>5619814</v>
      </c>
      <c r="I54" s="70">
        <f>+'4.1. Samtryggingard.'!H33-'4.1. Samtryggingard.'!H41</f>
        <v>129008</v>
      </c>
      <c r="J54" s="70">
        <f>+'4.1. Samtryggingard.'!I33-'4.1. Samtryggingard.'!I41</f>
        <v>5736908</v>
      </c>
      <c r="K54" s="70">
        <f>+'4.1. Samtryggingard.'!J33-'4.1. Samtryggingard.'!J41</f>
        <v>531797</v>
      </c>
      <c r="L54" s="70">
        <f>+'4.1. Samtryggingard.'!K33-'4.1. Samtryggingard.'!K41</f>
        <v>4203746</v>
      </c>
      <c r="M54" s="70">
        <f>+'4.1. Samtryggingard.'!L33-'4.1. Samtryggingard.'!L41</f>
        <v>653266</v>
      </c>
      <c r="N54" s="70">
        <f>+'4.1. Samtryggingard.'!M33-'4.1. Samtryggingard.'!M41</f>
        <v>3049954</v>
      </c>
      <c r="O54" s="70">
        <f>+'4.1. Samtryggingard.'!N33-'4.1. Samtryggingard.'!N41</f>
        <v>2195020</v>
      </c>
      <c r="P54" s="70">
        <f>+'4.1. Samtryggingard.'!O33-'4.1. Samtryggingard.'!O41</f>
        <v>713796</v>
      </c>
      <c r="Q54" s="70">
        <f>+'4.1. Samtryggingard.'!P33-'4.1. Samtryggingard.'!P41</f>
        <v>3541450</v>
      </c>
      <c r="R54" s="70">
        <f>+'4.1. Samtryggingard.'!Q33-'4.1. Samtryggingard.'!Q41</f>
        <v>334647</v>
      </c>
      <c r="S54" s="70">
        <f>+'4.1. Samtryggingard.'!R33-'4.1. Samtryggingard.'!R41</f>
        <v>2665926.8</v>
      </c>
      <c r="T54" s="70">
        <f>+'4.1. Samtryggingard.'!S33-'4.1. Samtryggingard.'!S41</f>
        <v>2059881</v>
      </c>
      <c r="U54" s="70">
        <f>+'4.1. Samtryggingard.'!T33-'4.1. Samtryggingard.'!T41</f>
        <v>2566031.2970000003</v>
      </c>
      <c r="V54" s="70">
        <f>+'4.1. Samtryggingard.'!U33-'4.1. Samtryggingard.'!U41</f>
        <v>1564445</v>
      </c>
      <c r="W54" s="70">
        <f>+'4.1. Samtryggingard.'!V33-'4.1. Samtryggingard.'!V41</f>
        <v>1836236</v>
      </c>
      <c r="X54" s="70">
        <f>+'4.1. Samtryggingard.'!W33-'4.1. Samtryggingard.'!W41</f>
        <v>1432267</v>
      </c>
      <c r="Y54" s="70">
        <f>+'4.1. Samtryggingard.'!X33-'4.1. Samtryggingard.'!X41</f>
        <v>2025303</v>
      </c>
      <c r="Z54" s="70">
        <f>+'4.1. Samtryggingard.'!Y33-'4.1. Samtryggingard.'!Y41</f>
        <v>1451651</v>
      </c>
      <c r="AA54" s="70">
        <f>+'4.1. Samtryggingard.'!Z33-'4.1. Samtryggingard.'!Z41</f>
        <v>825929.908</v>
      </c>
      <c r="AB54" s="70">
        <f>+'4.1. Samtryggingard.'!AA33-'4.1. Samtryggingard.'!AA41</f>
        <v>62623.256</v>
      </c>
      <c r="AC54" s="70">
        <f>+'4.1. Samtryggingard.'!AB33-'4.1. Samtryggingard.'!AB41</f>
        <v>1492236</v>
      </c>
      <c r="AD54" s="70">
        <f>+'4.1. Samtryggingard.'!AC33-'4.1. Samtryggingard.'!AC41</f>
        <v>800910.709</v>
      </c>
      <c r="AE54" s="70">
        <f>+'4.1. Samtryggingard.'!AD33-'4.1. Samtryggingard.'!AD41</f>
        <v>90292.71800000001</v>
      </c>
      <c r="AF54" s="70">
        <f>+'4.1. Samtryggingard.'!AE33-'4.1. Samtryggingard.'!AE41</f>
        <v>931159</v>
      </c>
      <c r="AG54" s="70">
        <f>+'4.1. Samtryggingard.'!AF33-'4.1. Samtryggingard.'!AF41</f>
        <v>1755946.9070000001</v>
      </c>
      <c r="AH54" s="70">
        <f>+'4.1. Samtryggingard.'!AG33-'4.1. Samtryggingard.'!AG41</f>
        <v>716589</v>
      </c>
      <c r="AI54" s="70">
        <f>+'4.1. Samtryggingard.'!AH33-'4.1. Samtryggingard.'!AH41</f>
        <v>463978</v>
      </c>
      <c r="AJ54" s="70">
        <f>+'4.1. Samtryggingard.'!AI33-'4.1. Samtryggingard.'!AI41</f>
        <v>528502</v>
      </c>
      <c r="AK54" s="70">
        <f>+'4.1. Samtryggingard.'!AJ33-'4.1. Samtryggingard.'!AJ41</f>
        <v>22695</v>
      </c>
      <c r="AL54" s="70">
        <f>+'4.1. Samtryggingard.'!AK33-'4.1. Samtryggingard.'!AK41</f>
        <v>242893</v>
      </c>
      <c r="AM54" s="70">
        <f>+'4.1. Samtryggingard.'!AL33-'4.1. Samtryggingard.'!AL41</f>
        <v>228987</v>
      </c>
      <c r="AN54" s="70">
        <f>+'4.1. Samtryggingard.'!AM33-'4.1. Samtryggingard.'!AM41</f>
        <v>272176</v>
      </c>
      <c r="AO54" s="70">
        <f>+'4.1. Samtryggingard.'!AN33-'4.1. Samtryggingard.'!AN41</f>
        <v>18455</v>
      </c>
      <c r="AP54" s="70">
        <f>+'4.1. Samtryggingard.'!AO33-'4.1. Samtryggingard.'!AO41</f>
        <v>149824</v>
      </c>
      <c r="AQ54" s="70">
        <f>+'4.1. Samtryggingard.'!AP33-'4.1. Samtryggingard.'!AP41</f>
        <v>150718</v>
      </c>
      <c r="AR54" s="70">
        <f>+'4.1. Samtryggingard.'!AQ33-'4.1. Samtryggingard.'!AQ41</f>
        <v>177823</v>
      </c>
      <c r="AS54" s="70">
        <f>+'4.1. Samtryggingard.'!AR33-'4.1. Samtryggingard.'!AR41</f>
        <v>177271</v>
      </c>
      <c r="AT54" s="70">
        <f>+'4.1. Samtryggingard.'!AS33-'4.1. Samtryggingard.'!AS41</f>
        <v>114881</v>
      </c>
      <c r="AU54" s="70">
        <f>+'4.1. Samtryggingard.'!AT33-'4.1. Samtryggingard.'!AT41</f>
        <v>78399.95700000001</v>
      </c>
      <c r="AV54" s="70">
        <f>+'4.1. Samtryggingard.'!AU33-'4.1. Samtryggingard.'!AU41</f>
        <v>59807.786</v>
      </c>
      <c r="AW54" s="70">
        <f>+'4.1. Samtryggingard.'!AV33-'4.1. Samtryggingard.'!AV41</f>
        <v>60796</v>
      </c>
      <c r="AX54" s="70">
        <f>+'4.1. Samtryggingard.'!AW33-'4.1. Samtryggingard.'!AW41</f>
        <v>54211</v>
      </c>
      <c r="AY54" s="70">
        <f>+'4.1. Samtryggingard.'!AX33-'4.1. Samtryggingard.'!AX41</f>
        <v>45253</v>
      </c>
      <c r="AZ54" s="70">
        <f>+'4.1. Samtryggingard.'!AY33-'4.1. Samtryggingard.'!AY41</f>
        <v>41914.39</v>
      </c>
      <c r="BA54" s="70">
        <f>+'4.1. Samtryggingard.'!AZ33-'4.1. Samtryggingard.'!AZ41</f>
        <v>21846</v>
      </c>
      <c r="BB54" s="70">
        <f>+'4.1. Samtryggingard.'!BA33-'4.1. Samtryggingard.'!BA41</f>
        <v>6984</v>
      </c>
      <c r="BC54" s="70">
        <f>+'4.1. Samtryggingard.'!BB33-'4.1. Samtryggingard.'!BB41</f>
        <v>641</v>
      </c>
      <c r="BD54" s="70">
        <f>+'4.1. Samtryggingard.'!BC33-'4.1. Samtryggingard.'!BC41</f>
        <v>-660</v>
      </c>
      <c r="BE54" s="34"/>
      <c r="BF54" s="272">
        <f>+'4.1. Samtryggingard.'!BE33-'4.1. Samtryggingard.'!BE41</f>
        <v>116434327.004</v>
      </c>
      <c r="BG54" s="272"/>
      <c r="BH54" s="272">
        <f>+'4.1. Samtryggingard.'!BG33-'4.1. Samtryggingard.'!BG41</f>
        <v>19127179.098999996</v>
      </c>
      <c r="BI54" s="272">
        <f>+'4.1. Samtryggingard.'!BH33-'4.1. Samtryggingard.'!BH41</f>
        <v>97307147.90499999</v>
      </c>
    </row>
    <row r="55" spans="1:61" ht="12.75">
      <c r="A55" s="10" t="s">
        <v>409</v>
      </c>
      <c r="B55" s="71"/>
      <c r="C55" s="47">
        <f>+'4.1. Samtryggingard.'!B46-'4.1. Samtryggingard.'!B48+'4.1. Samtryggingard.'!B50</f>
        <v>163364</v>
      </c>
      <c r="D55" s="47">
        <f>+'4.1. Samtryggingard.'!C46-'4.1. Samtryggingard.'!C48+'4.1. Samtryggingard.'!C50</f>
        <v>44701.3</v>
      </c>
      <c r="E55" s="47">
        <f>+'4.1. Samtryggingard.'!D46-'4.1. Samtryggingard.'!D48+'4.1. Samtryggingard.'!D50</f>
        <v>102494</v>
      </c>
      <c r="F55" s="47">
        <f>+'4.1. Samtryggingard.'!E46-'4.1. Samtryggingard.'!E48+'4.1. Samtryggingard.'!E50</f>
        <v>94346.918</v>
      </c>
      <c r="G55" s="47">
        <f>+'4.1. Samtryggingard.'!F46-'4.1. Samtryggingard.'!F48+'4.1. Samtryggingard.'!F50</f>
        <v>79656</v>
      </c>
      <c r="H55" s="47">
        <f>+'4.1. Samtryggingard.'!G46-'4.1. Samtryggingard.'!G48+'4.1. Samtryggingard.'!G50</f>
        <v>86408</v>
      </c>
      <c r="I55" s="47">
        <f>+'4.1. Samtryggingard.'!H46-'4.1. Samtryggingard.'!H48+'4.1. Samtryggingard.'!H50</f>
        <v>2273</v>
      </c>
      <c r="J55" s="47">
        <f>+'4.1. Samtryggingard.'!I46-'4.1. Samtryggingard.'!I48+'4.1. Samtryggingard.'!I50</f>
        <v>53223</v>
      </c>
      <c r="K55" s="47">
        <f>+'4.1. Samtryggingard.'!J46-'4.1. Samtryggingard.'!J48+'4.1. Samtryggingard.'!J50</f>
        <v>9052</v>
      </c>
      <c r="L55" s="47">
        <f>+'4.1. Samtryggingard.'!K46-'4.1. Samtryggingard.'!K48+'4.1. Samtryggingard.'!K50</f>
        <v>53534</v>
      </c>
      <c r="M55" s="47">
        <f>+'4.1. Samtryggingard.'!L46-'4.1. Samtryggingard.'!L48+'4.1. Samtryggingard.'!L50</f>
        <v>9525</v>
      </c>
      <c r="N55" s="47">
        <f>+'4.1. Samtryggingard.'!M46-'4.1. Samtryggingard.'!M48+'4.1. Samtryggingard.'!M50</f>
        <v>40929</v>
      </c>
      <c r="O55" s="47">
        <f>+'4.1. Samtryggingard.'!N46-'4.1. Samtryggingard.'!N48+'4.1. Samtryggingard.'!N50</f>
        <v>29177</v>
      </c>
      <c r="P55" s="47">
        <f>+'4.1. Samtryggingard.'!O46-'4.1. Samtryggingard.'!O48+'4.1. Samtryggingard.'!O50</f>
        <v>8052</v>
      </c>
      <c r="Q55" s="47">
        <f>+'4.1. Samtryggingard.'!P46-'4.1. Samtryggingard.'!P48+'4.1. Samtryggingard.'!P50</f>
        <v>23100</v>
      </c>
      <c r="R55" s="47">
        <f>+'4.1. Samtryggingard.'!Q46-'4.1. Samtryggingard.'!Q48+'4.1. Samtryggingard.'!Q50</f>
        <v>13948</v>
      </c>
      <c r="S55" s="47">
        <f>+'4.1. Samtryggingard.'!R46-'4.1. Samtryggingard.'!R48+'4.1. Samtryggingard.'!R50</f>
        <v>15117</v>
      </c>
      <c r="T55" s="47">
        <f>+'4.1. Samtryggingard.'!S46-'4.1. Samtryggingard.'!S48+'4.1. Samtryggingard.'!S50</f>
        <v>25377</v>
      </c>
      <c r="U55" s="47">
        <f>+'4.1. Samtryggingard.'!T46-'4.1. Samtryggingard.'!T48+'4.1. Samtryggingard.'!T50</f>
        <v>43840</v>
      </c>
      <c r="V55" s="47">
        <f>+'4.1. Samtryggingard.'!U46-'4.1. Samtryggingard.'!U48+'4.1. Samtryggingard.'!U50</f>
        <v>30356</v>
      </c>
      <c r="W55" s="47">
        <f>+'4.1. Samtryggingard.'!V46-'4.1. Samtryggingard.'!V48+'4.1. Samtryggingard.'!V50</f>
        <v>18560</v>
      </c>
      <c r="X55" s="47">
        <f>+'4.1. Samtryggingard.'!W46-'4.1. Samtryggingard.'!W48+'4.1. Samtryggingard.'!W50</f>
        <v>32027</v>
      </c>
      <c r="Y55" s="47">
        <f>+'4.1. Samtryggingard.'!X46-'4.1. Samtryggingard.'!X48+'4.1. Samtryggingard.'!X50</f>
        <v>21920</v>
      </c>
      <c r="Z55" s="47">
        <f>+'4.1. Samtryggingard.'!Y46-'4.1. Samtryggingard.'!Y48+'4.1. Samtryggingard.'!Y50</f>
        <v>27410</v>
      </c>
      <c r="AA55" s="47">
        <f>+'4.1. Samtryggingard.'!Z46-'4.1. Samtryggingard.'!Z48+'4.1. Samtryggingard.'!Z50</f>
        <v>40712.652</v>
      </c>
      <c r="AB55" s="47">
        <f>+'4.1. Samtryggingard.'!AA46-'4.1. Samtryggingard.'!AA48+'4.1. Samtryggingard.'!AA50</f>
        <v>3087</v>
      </c>
      <c r="AC55" s="47">
        <f>+'4.1. Samtryggingard.'!AB46-'4.1. Samtryggingard.'!AB48+'4.1. Samtryggingard.'!AB50</f>
        <v>15317</v>
      </c>
      <c r="AD55" s="47">
        <f>+'4.1. Samtryggingard.'!AC46-'4.1. Samtryggingard.'!AC48+'4.1. Samtryggingard.'!AC50</f>
        <v>40083.656</v>
      </c>
      <c r="AE55" s="47">
        <f>+'4.1. Samtryggingard.'!AD46-'4.1. Samtryggingard.'!AD48+'4.1. Samtryggingard.'!AD50</f>
        <v>5340.655</v>
      </c>
      <c r="AF55" s="47">
        <f>+'4.1. Samtryggingard.'!AE46-'4.1. Samtryggingard.'!AE48+'4.1. Samtryggingard.'!AE50</f>
        <v>7704</v>
      </c>
      <c r="AG55" s="47">
        <f>+'4.1. Samtryggingard.'!AF46-'4.1. Samtryggingard.'!AF48+'4.1. Samtryggingard.'!AF50</f>
        <v>2244.677</v>
      </c>
      <c r="AH55" s="47">
        <f>+'4.1. Samtryggingard.'!AG46-'4.1. Samtryggingard.'!AG48+'4.1. Samtryggingard.'!AG50</f>
        <v>17809</v>
      </c>
      <c r="AI55" s="47">
        <f>+'4.1. Samtryggingard.'!AH46-'4.1. Samtryggingard.'!AH48+'4.1. Samtryggingard.'!AH50</f>
        <v>2600</v>
      </c>
      <c r="AJ55" s="47">
        <f>+'4.1. Samtryggingard.'!AI46-'4.1. Samtryggingard.'!AI48+'4.1. Samtryggingard.'!AI50</f>
        <v>7456</v>
      </c>
      <c r="AK55" s="47">
        <f>+'4.1. Samtryggingard.'!AJ46-'4.1. Samtryggingard.'!AJ48+'4.1. Samtryggingard.'!AJ50</f>
        <v>863</v>
      </c>
      <c r="AL55" s="47">
        <f>+'4.1. Samtryggingard.'!AK46-'4.1. Samtryggingard.'!AK48+'4.1. Samtryggingard.'!AK50</f>
        <v>2814</v>
      </c>
      <c r="AM55" s="47">
        <f>+'4.1. Samtryggingard.'!AL46-'4.1. Samtryggingard.'!AL48+'4.1. Samtryggingard.'!AL50</f>
        <v>4628</v>
      </c>
      <c r="AN55" s="47">
        <f>+'4.1. Samtryggingard.'!AM46-'4.1. Samtryggingard.'!AM48+'4.1. Samtryggingard.'!AM50</f>
        <v>976</v>
      </c>
      <c r="AO55" s="47">
        <f>+'4.1. Samtryggingard.'!AN46-'4.1. Samtryggingard.'!AN48+'4.1. Samtryggingard.'!AN50</f>
        <v>926</v>
      </c>
      <c r="AP55" s="47">
        <f>+'4.1. Samtryggingard.'!AO46-'4.1. Samtryggingard.'!AO48+'4.1. Samtryggingard.'!AO50</f>
        <v>-2478</v>
      </c>
      <c r="AQ55" s="47">
        <f>+'4.1. Samtryggingard.'!AP46-'4.1. Samtryggingard.'!AP48+'4.1. Samtryggingard.'!AP50</f>
        <v>6840.63</v>
      </c>
      <c r="AR55" s="47">
        <f>+'4.1. Samtryggingard.'!AQ46-'4.1. Samtryggingard.'!AQ48+'4.1. Samtryggingard.'!AQ50</f>
        <v>2226</v>
      </c>
      <c r="AS55" s="47">
        <f>+'4.1. Samtryggingard.'!AR46-'4.1. Samtryggingard.'!AR48+'4.1. Samtryggingard.'!AR50</f>
        <v>4371</v>
      </c>
      <c r="AT55" s="47">
        <f>+'4.1. Samtryggingard.'!AS46-'4.1. Samtryggingard.'!AS48+'4.1. Samtryggingard.'!AS50</f>
        <v>1728</v>
      </c>
      <c r="AU55" s="47">
        <f>+'4.1. Samtryggingard.'!AT46-'4.1. Samtryggingard.'!AT48+'4.1. Samtryggingard.'!AT50</f>
        <v>992.072</v>
      </c>
      <c r="AV55" s="47">
        <f>+'4.1. Samtryggingard.'!AU46-'4.1. Samtryggingard.'!AU48+'4.1. Samtryggingard.'!AU50</f>
        <v>1708.3410000000001</v>
      </c>
      <c r="AW55" s="47">
        <f>+'4.1. Samtryggingard.'!AV46-'4.1. Samtryggingard.'!AV48+'4.1. Samtryggingard.'!AV50</f>
        <v>2527</v>
      </c>
      <c r="AX55" s="47">
        <f>+'4.1. Samtryggingard.'!AW46-'4.1. Samtryggingard.'!AW48+'4.1. Samtryggingard.'!AW50</f>
        <v>1245</v>
      </c>
      <c r="AY55" s="47">
        <f>+'4.1. Samtryggingard.'!AX46-'4.1. Samtryggingard.'!AX48+'4.1. Samtryggingard.'!AX50</f>
        <v>247</v>
      </c>
      <c r="AZ55" s="47">
        <f>+'4.1. Samtryggingard.'!AY46-'4.1. Samtryggingard.'!AY48+'4.1. Samtryggingard.'!AY50</f>
        <v>2545.365</v>
      </c>
      <c r="BA55" s="47">
        <f>+'4.1. Samtryggingard.'!AZ46-'4.1. Samtryggingard.'!AZ48+'4.1. Samtryggingard.'!AZ50</f>
        <v>1573</v>
      </c>
      <c r="BB55" s="47">
        <f>+'4.1. Samtryggingard.'!BA46-'4.1. Samtryggingard.'!BA48+'4.1. Samtryggingard.'!BA50</f>
        <v>2453</v>
      </c>
      <c r="BC55" s="47">
        <f>+'4.1. Samtryggingard.'!BB46-'4.1. Samtryggingard.'!BB48+'4.1. Samtryggingard.'!BB50</f>
        <v>220</v>
      </c>
      <c r="BD55" s="47">
        <f>+'4.1. Samtryggingard.'!BC46-'4.1. Samtryggingard.'!BC48+'4.1. Samtryggingard.'!BC50</f>
        <v>661</v>
      </c>
      <c r="BE55" s="34"/>
      <c r="BF55" s="272">
        <f>+'4.1. Samtryggingard.'!BE46-'4.1. Samtryggingard.'!BE48+'4.1. Samtryggingard.'!BE50</f>
        <v>1207811.2659999996</v>
      </c>
      <c r="BG55" s="272"/>
      <c r="BH55" s="272">
        <f>+'4.1. Samtryggingard.'!BG46-'4.1. Samtryggingard.'!BG48+'4.1. Samtryggingard.'!BG50</f>
        <v>245691.651</v>
      </c>
      <c r="BI55" s="272">
        <f>+'4.1. Samtryggingard.'!BH46-'4.1. Samtryggingard.'!BH48+'4.1. Samtryggingard.'!BH50</f>
        <v>962119.6150000002</v>
      </c>
    </row>
    <row r="56" spans="1:61" ht="12.75">
      <c r="A56" s="7"/>
      <c r="B56" s="71"/>
      <c r="N56" s="2"/>
      <c r="O56" s="2"/>
      <c r="P56" s="2"/>
      <c r="AP56" s="2"/>
      <c r="AS56" s="2"/>
      <c r="BD56" s="2"/>
      <c r="BE56" s="34"/>
      <c r="BG56" s="34"/>
      <c r="BH56" s="5"/>
      <c r="BI56" s="5"/>
    </row>
    <row r="57" spans="1:61" ht="12.75">
      <c r="A57" s="10" t="s">
        <v>316</v>
      </c>
      <c r="B57" s="71"/>
      <c r="C57" s="70">
        <f>+'4.1. Samtryggingard.'!B63+'4.1. Samtryggingard.'!B65-('4.2 Kennitölur (samtr)'!C54-'4.2 Kennitölur (samtr)'!C55)</f>
        <v>221206083</v>
      </c>
      <c r="D57" s="70">
        <f>+'4.1. Samtryggingard.'!C63+'4.1. Samtryggingard.'!C65-('4.2 Kennitölur (samtr)'!D54-'4.2 Kennitölur (samtr)'!D55)</f>
        <v>78645293</v>
      </c>
      <c r="E57" s="70">
        <f>+'4.1. Samtryggingard.'!D63+'4.1. Samtryggingard.'!D65-('4.2 Kennitölur (samtr)'!E54-'4.2 Kennitölur (samtr)'!E55)</f>
        <v>249116632</v>
      </c>
      <c r="F57" s="70">
        <f>+'4.1. Samtryggingard.'!E63+'4.1. Samtryggingard.'!E65-('4.2 Kennitölur (samtr)'!F54-'4.2 Kennitölur (samtr)'!F55)</f>
        <v>128174104.855</v>
      </c>
      <c r="G57" s="70">
        <f>+'4.1. Samtryggingard.'!F63+'4.1. Samtryggingard.'!F65-('4.2 Kennitölur (samtr)'!G54-'4.2 Kennitölur (samtr)'!G55)</f>
        <v>112658987</v>
      </c>
      <c r="H57" s="70">
        <f>+'4.1. Samtryggingard.'!G63+'4.1. Samtryggingard.'!G65-('4.2 Kennitölur (samtr)'!H54-'4.2 Kennitölur (samtr)'!H55)</f>
        <v>101403754</v>
      </c>
      <c r="I57" s="70">
        <f>+'4.1. Samtryggingard.'!H63+'4.1. Samtryggingard.'!H65-('4.2 Kennitölur (samtr)'!I54-'4.2 Kennitölur (samtr)'!I55)</f>
        <v>2324445</v>
      </c>
      <c r="J57" s="70">
        <f>+'4.1. Samtryggingard.'!I63+'4.1. Samtryggingard.'!I65-('4.2 Kennitölur (samtr)'!J54-'4.2 Kennitölur (samtr)'!J55)</f>
        <v>63998611</v>
      </c>
      <c r="K57" s="70">
        <f>+'4.1. Samtryggingard.'!J63+'4.1. Samtryggingard.'!J65-('4.2 Kennitölur (samtr)'!K54-'4.2 Kennitölur (samtr)'!K55)</f>
        <v>8190712</v>
      </c>
      <c r="L57" s="70">
        <f>+'4.1. Samtryggingard.'!K63+'4.1. Samtryggingard.'!K65-('4.2 Kennitölur (samtr)'!L54-'4.2 Kennitölur (samtr)'!L55)</f>
        <v>57643257</v>
      </c>
      <c r="M57" s="70">
        <f>+'4.1. Samtryggingard.'!L63+'4.1. Samtryggingard.'!L65-('4.2 Kennitölur (samtr)'!M54-'4.2 Kennitölur (samtr)'!M55)</f>
        <v>10915177</v>
      </c>
      <c r="N57" s="70">
        <f>+'4.1. Samtryggingard.'!M63+'4.1. Samtryggingard.'!M65-('4.2 Kennitölur (samtr)'!N54-'4.2 Kennitölur (samtr)'!N55)</f>
        <v>46115621</v>
      </c>
      <c r="O57" s="70">
        <f>+'4.1. Samtryggingard.'!N63+'4.1. Samtryggingard.'!N65-('4.2 Kennitölur (samtr)'!O54-'4.2 Kennitölur (samtr)'!O55)</f>
        <v>35444366</v>
      </c>
      <c r="P57" s="70">
        <f>+'4.1. Samtryggingard.'!O63+'4.1. Samtryggingard.'!O65-('4.2 Kennitölur (samtr)'!P54-'4.2 Kennitölur (samtr)'!P55)</f>
        <v>9721615</v>
      </c>
      <c r="Q57" s="70">
        <f>+'4.1. Samtryggingard.'!P63+'4.1. Samtryggingard.'!P65-('4.2 Kennitölur (samtr)'!Q54-'4.2 Kennitölur (samtr)'!Q55)</f>
        <v>35062273</v>
      </c>
      <c r="R57" s="70">
        <f>+'4.1. Samtryggingard.'!Q63+'4.1. Samtryggingard.'!Q65-('4.2 Kennitölur (samtr)'!R54-'4.2 Kennitölur (samtr)'!R55)</f>
        <v>3345563</v>
      </c>
      <c r="S57" s="70">
        <f>+'4.1. Samtryggingard.'!R63+'4.1. Samtryggingard.'!R65-('4.2 Kennitölur (samtr)'!S54-'4.2 Kennitölur (samtr)'!S55)</f>
        <v>31538029.999999996</v>
      </c>
      <c r="T57" s="70">
        <f>+'4.1. Samtryggingard.'!S63+'4.1. Samtryggingard.'!S65-('4.2 Kennitölur (samtr)'!T54-'4.2 Kennitölur (samtr)'!T55)</f>
        <v>31906282</v>
      </c>
      <c r="U57" s="70">
        <f>+'4.1. Samtryggingard.'!T63+'4.1. Samtryggingard.'!T65-('4.2 Kennitölur (samtr)'!U54-'4.2 Kennitölur (samtr)'!U55)</f>
        <v>30238407.519999996</v>
      </c>
      <c r="V57" s="70">
        <f>+'4.1. Samtryggingard.'!U63+'4.1. Samtryggingard.'!U65-('4.2 Kennitölur (samtr)'!V54-'4.2 Kennitölur (samtr)'!V55)</f>
        <v>29459712</v>
      </c>
      <c r="W57" s="70">
        <f>+'4.1. Samtryggingard.'!V63+'4.1. Samtryggingard.'!V65-('4.2 Kennitölur (samtr)'!W54-'4.2 Kennitölur (samtr)'!W55)</f>
        <v>26639772</v>
      </c>
      <c r="X57" s="70">
        <f>+'4.1. Samtryggingard.'!W63+'4.1. Samtryggingard.'!W65-('4.2 Kennitölur (samtr)'!X54-'4.2 Kennitölur (samtr)'!X55)</f>
        <v>27750468</v>
      </c>
      <c r="Y57" s="70">
        <f>+'4.1. Samtryggingard.'!X63+'4.1. Samtryggingard.'!X65-('4.2 Kennitölur (samtr)'!Y54-'4.2 Kennitölur (samtr)'!Y55)</f>
        <v>25829150</v>
      </c>
      <c r="Z57" s="70">
        <f>+'4.1. Samtryggingard.'!Y63+'4.1. Samtryggingard.'!Y65-('4.2 Kennitölur (samtr)'!Z54-'4.2 Kennitölur (samtr)'!Z55)</f>
        <v>25166683</v>
      </c>
      <c r="AA57" s="70">
        <f>+'4.1. Samtryggingard.'!Z63+'4.1. Samtryggingard.'!Z65-('4.2 Kennitölur (samtr)'!AA54-'4.2 Kennitölur (samtr)'!AA55)</f>
        <v>18577226.419</v>
      </c>
      <c r="AB57" s="70">
        <f>+'4.1. Samtryggingard.'!AA63+'4.1. Samtryggingard.'!AA65-('4.2 Kennitölur (samtr)'!AB54-'4.2 Kennitölur (samtr)'!AB55)</f>
        <v>1417455.204</v>
      </c>
      <c r="AC57" s="70">
        <f>+'4.1. Samtryggingard.'!AB63+'4.1. Samtryggingard.'!AB65-('4.2 Kennitölur (samtr)'!AC54-'4.2 Kennitölur (samtr)'!AC55)</f>
        <v>19298326</v>
      </c>
      <c r="AD57" s="70">
        <f>+'4.1. Samtryggingard.'!AC63+'4.1. Samtryggingard.'!AC65-('4.2 Kennitölur (samtr)'!AD54-'4.2 Kennitölur (samtr)'!AD55)</f>
        <v>20242880.7</v>
      </c>
      <c r="AE57" s="70">
        <f>+'4.1. Samtryggingard.'!AD63+'4.1. Samtryggingard.'!AD65-('4.2 Kennitölur (samtr)'!AE54-'4.2 Kennitölur (samtr)'!AE55)</f>
        <v>1689074.7089999998</v>
      </c>
      <c r="AF57" s="70">
        <f>+'4.1. Samtryggingard.'!AE63+'4.1. Samtryggingard.'!AE65-('4.2 Kennitölur (samtr)'!AF54-'4.2 Kennitölur (samtr)'!AF55)</f>
        <v>18296558</v>
      </c>
      <c r="AG57" s="70">
        <f>+'4.1. Samtryggingard.'!AF63+'4.1. Samtryggingard.'!AF65-('4.2 Kennitölur (samtr)'!AG54-'4.2 Kennitölur (samtr)'!AG55)</f>
        <v>14820033.223</v>
      </c>
      <c r="AH57" s="70">
        <f>+'4.1. Samtryggingard.'!AG63+'4.1. Samtryggingard.'!AG65-('4.2 Kennitölur (samtr)'!AH54-'4.2 Kennitölur (samtr)'!AH55)</f>
        <v>13036743</v>
      </c>
      <c r="AI57" s="70">
        <f>+'4.1. Samtryggingard.'!AH63+'4.1. Samtryggingard.'!AH65-('4.2 Kennitölur (samtr)'!AI54-'4.2 Kennitölur (samtr)'!AI55)</f>
        <v>6882690</v>
      </c>
      <c r="AJ57" s="70">
        <f>+'4.1. Samtryggingard.'!AI63+'4.1. Samtryggingard.'!AI65-('4.2 Kennitölur (samtr)'!AJ54-'4.2 Kennitölur (samtr)'!AJ55)</f>
        <v>4950243</v>
      </c>
      <c r="AK57" s="70">
        <f>+'4.1. Samtryggingard.'!AJ63+'4.1. Samtryggingard.'!AJ65-('4.2 Kennitölur (samtr)'!AK54-'4.2 Kennitölur (samtr)'!AK55)</f>
        <v>354456</v>
      </c>
      <c r="AL57" s="70">
        <f>+'4.1. Samtryggingard.'!AK63+'4.1. Samtryggingard.'!AK65-('4.2 Kennitölur (samtr)'!AL54-'4.2 Kennitölur (samtr)'!AL55)</f>
        <v>5391692</v>
      </c>
      <c r="AM57" s="70">
        <f>+'4.1. Samtryggingard.'!AL63+'4.1. Samtryggingard.'!AL65-('4.2 Kennitölur (samtr)'!AM54-'4.2 Kennitölur (samtr)'!AM55)</f>
        <v>4597192</v>
      </c>
      <c r="AN57" s="70">
        <f>+'4.1. Samtryggingard.'!AM63+'4.1. Samtryggingard.'!AM65-('4.2 Kennitölur (samtr)'!AN54-'4.2 Kennitölur (samtr)'!AN55)</f>
        <v>4398353</v>
      </c>
      <c r="AO57" s="70">
        <f>+'4.1. Samtryggingard.'!AN63+'4.1. Samtryggingard.'!AN65-('4.2 Kennitölur (samtr)'!AO54-'4.2 Kennitölur (samtr)'!AO55)</f>
        <v>299392</v>
      </c>
      <c r="AP57" s="70">
        <f>+'4.1. Samtryggingard.'!AO63+'4.1. Samtryggingard.'!AO65-('4.2 Kennitölur (samtr)'!AP54-'4.2 Kennitölur (samtr)'!AP55)</f>
        <v>3196920</v>
      </c>
      <c r="AQ57" s="70">
        <f>+'4.1. Samtryggingard.'!AP63+'4.1. Samtryggingard.'!AP65-('4.2 Kennitölur (samtr)'!AQ54-'4.2 Kennitölur (samtr)'!AQ55)</f>
        <v>2957052.8139999993</v>
      </c>
      <c r="AR57" s="70">
        <f>+'4.1. Samtryggingard.'!AQ63+'4.1. Samtryggingard.'!AQ65-('4.2 Kennitölur (samtr)'!AR54-'4.2 Kennitölur (samtr)'!AR55)</f>
        <v>2673158</v>
      </c>
      <c r="AS57" s="70">
        <f>+'4.1. Samtryggingard.'!AR63+'4.1. Samtryggingard.'!AR65-('4.2 Kennitölur (samtr)'!AS54-'4.2 Kennitölur (samtr)'!AS55)</f>
        <v>2315851</v>
      </c>
      <c r="AT57" s="70">
        <f>+'4.1. Samtryggingard.'!AS63+'4.1. Samtryggingard.'!AS65-('4.2 Kennitölur (samtr)'!AT54-'4.2 Kennitölur (samtr)'!AT55)</f>
        <v>1718507</v>
      </c>
      <c r="AU57" s="70">
        <f>+'4.1. Samtryggingard.'!AT63+'4.1. Samtryggingard.'!AT65-('4.2 Kennitölur (samtr)'!AU54-'4.2 Kennitölur (samtr)'!AU55)</f>
        <v>1290327.485</v>
      </c>
      <c r="AV57" s="70">
        <f>+'4.1. Samtryggingard.'!AU63+'4.1. Samtryggingard.'!AU65-('4.2 Kennitölur (samtr)'!AV54-'4.2 Kennitölur (samtr)'!AV55)</f>
        <v>1150993.865</v>
      </c>
      <c r="AW57" s="70">
        <f>+'4.1. Samtryggingard.'!AV63+'4.1. Samtryggingard.'!AV65-('4.2 Kennitölur (samtr)'!AW54-'4.2 Kennitölur (samtr)'!AW55)</f>
        <v>1101177</v>
      </c>
      <c r="AX57" s="70">
        <f>+'4.1. Samtryggingard.'!AW63+'4.1. Samtryggingard.'!AW65-('4.2 Kennitölur (samtr)'!AX54-'4.2 Kennitölur (samtr)'!AX55)</f>
        <v>939600</v>
      </c>
      <c r="AY57" s="70">
        <f>+'4.1. Samtryggingard.'!AX63+'4.1. Samtryggingard.'!AX65-('4.2 Kennitölur (samtr)'!AY54-'4.2 Kennitölur (samtr)'!AY55)</f>
        <v>866518</v>
      </c>
      <c r="AZ57" s="70">
        <f>+'4.1. Samtryggingard.'!AY63+'4.1. Samtryggingard.'!AY65-('4.2 Kennitölur (samtr)'!AZ54-'4.2 Kennitölur (samtr)'!AZ55)</f>
        <v>726572.6649999999</v>
      </c>
      <c r="BA57" s="70">
        <f>+'4.1. Samtryggingard.'!AZ63+'4.1. Samtryggingard.'!AZ65-('4.2 Kennitölur (samtr)'!BA54-'4.2 Kennitölur (samtr)'!BA55)</f>
        <v>385361</v>
      </c>
      <c r="BB57" s="70">
        <f>+'4.1. Samtryggingard.'!BA63+'4.1. Samtryggingard.'!BA65-('4.2 Kennitölur (samtr)'!BB54-'4.2 Kennitölur (samtr)'!BB55)</f>
        <v>181774.13</v>
      </c>
      <c r="BC57" s="70">
        <f>+'4.1. Samtryggingard.'!BB63+'4.1. Samtryggingard.'!BB65-('4.2 Kennitölur (samtr)'!BC54-'4.2 Kennitölur (samtr)'!BC55)</f>
        <v>15889</v>
      </c>
      <c r="BD57" s="70">
        <f>+'4.1. Samtryggingard.'!BC63+'4.1. Samtryggingard.'!BC65-('4.2 Kennitölur (samtr)'!BD54-'4.2 Kennitölur (samtr)'!BD55)</f>
        <v>-1162</v>
      </c>
      <c r="BE57" s="34"/>
      <c r="BF57" s="272">
        <f>+'4.1. Samtryggingard.'!BE63+'4.1. Samtryggingard.'!BE65-('4.2 Kennitölur (samtr)'!BF54-'4.2 Kennitölur (samtr)'!BF55)</f>
        <v>1546265853.589</v>
      </c>
      <c r="BG57" s="272"/>
      <c r="BH57" s="272">
        <f>+'4.1. Samtryggingard.'!BG63+'4.1. Samtryggingard.'!BG65-('4.2 Kennitölur (samtr)'!BH54-'4.2 Kennitölur (samtr)'!BH55)</f>
        <v>287907935.30899996</v>
      </c>
      <c r="BI57" s="272">
        <f>+'4.1. Samtryggingard.'!BH63+'4.1. Samtryggingard.'!BH65-('4.2 Kennitölur (samtr)'!BI54-'4.2 Kennitölur (samtr)'!BI55)</f>
        <v>1258357918.2799997</v>
      </c>
    </row>
    <row r="58" spans="1:61" ht="12.75">
      <c r="A58" s="10" t="s">
        <v>410</v>
      </c>
      <c r="B58" s="71"/>
      <c r="N58" s="2"/>
      <c r="O58" s="2"/>
      <c r="P58" s="2"/>
      <c r="AP58" s="2"/>
      <c r="AS58" s="2"/>
      <c r="BD58" s="2"/>
      <c r="BE58" s="34"/>
      <c r="BF58" s="272"/>
      <c r="BG58" s="272"/>
      <c r="BH58" s="272"/>
      <c r="BI58" s="272"/>
    </row>
    <row r="59" spans="1:61" ht="12.75">
      <c r="A59" s="10" t="s">
        <v>317</v>
      </c>
      <c r="B59" s="71"/>
      <c r="C59" s="36">
        <f aca="true" t="shared" si="13" ref="C59:BD59">(2*(C54-C55))/C57</f>
        <v>0.13667274240374302</v>
      </c>
      <c r="D59" s="36">
        <f t="shared" si="13"/>
        <v>0.13424965433087013</v>
      </c>
      <c r="E59" s="36">
        <f t="shared" si="13"/>
        <v>0.1634265110006786</v>
      </c>
      <c r="F59" s="36">
        <f t="shared" si="13"/>
        <v>0.18063499442568431</v>
      </c>
      <c r="G59" s="36">
        <f t="shared" si="13"/>
        <v>0.20801830927167844</v>
      </c>
      <c r="H59" s="36">
        <f t="shared" si="13"/>
        <v>0.10913611738673895</v>
      </c>
      <c r="I59" s="36">
        <f t="shared" si="13"/>
        <v>0.10904538502739364</v>
      </c>
      <c r="J59" s="36">
        <f t="shared" si="13"/>
        <v>0.1776190111376011</v>
      </c>
      <c r="K59" s="36">
        <f t="shared" si="13"/>
        <v>0.1276433599423347</v>
      </c>
      <c r="L59" s="36">
        <f t="shared" si="13"/>
        <v>0.1439964435042246</v>
      </c>
      <c r="M59" s="36">
        <f t="shared" si="13"/>
        <v>0.11795337812662131</v>
      </c>
      <c r="N59" s="36">
        <f t="shared" si="13"/>
        <v>0.13049916426366676</v>
      </c>
      <c r="O59" s="36">
        <f t="shared" si="13"/>
        <v>0.12221084727541748</v>
      </c>
      <c r="P59" s="36">
        <f t="shared" si="13"/>
        <v>0.14519069105287546</v>
      </c>
      <c r="Q59" s="36">
        <f t="shared" si="13"/>
        <v>0.20069149538593803</v>
      </c>
      <c r="R59" s="36">
        <f t="shared" si="13"/>
        <v>0.19171601311946598</v>
      </c>
      <c r="S59" s="36">
        <f t="shared" si="13"/>
        <v>0.16810243379183798</v>
      </c>
      <c r="T59" s="36">
        <f t="shared" si="13"/>
        <v>0.12752999550370675</v>
      </c>
      <c r="U59" s="36">
        <f t="shared" si="13"/>
        <v>0.16682037870756236</v>
      </c>
      <c r="V59" s="36">
        <f t="shared" si="13"/>
        <v>0.10414826865924555</v>
      </c>
      <c r="W59" s="36">
        <f t="shared" si="13"/>
        <v>0.13646333009156383</v>
      </c>
      <c r="X59" s="36">
        <f t="shared" si="13"/>
        <v>0.10091649625512622</v>
      </c>
      <c r="Y59" s="36">
        <f t="shared" si="13"/>
        <v>0.15512573971656055</v>
      </c>
      <c r="Z59" s="36">
        <f t="shared" si="13"/>
        <v>0.11318464177420601</v>
      </c>
      <c r="AA59" s="36">
        <f t="shared" si="13"/>
        <v>0.08453546705948668</v>
      </c>
      <c r="AB59" s="36">
        <f t="shared" si="13"/>
        <v>0.08400442685171447</v>
      </c>
      <c r="AC59" s="36">
        <f t="shared" si="13"/>
        <v>0.15306187697316337</v>
      </c>
      <c r="AD59" s="36">
        <f t="shared" si="13"/>
        <v>0.07516984013051069</v>
      </c>
      <c r="AE59" s="36">
        <f t="shared" si="13"/>
        <v>0.10059005980889389</v>
      </c>
      <c r="AF59" s="36">
        <f t="shared" si="13"/>
        <v>0.10094302983107534</v>
      </c>
      <c r="AG59" s="36">
        <f t="shared" si="13"/>
        <v>0.2366664370601189</v>
      </c>
      <c r="AH59" s="36">
        <f t="shared" si="13"/>
        <v>0.10720162236840904</v>
      </c>
      <c r="AI59" s="36">
        <f t="shared" si="13"/>
        <v>0.13406909217181073</v>
      </c>
      <c r="AJ59" s="36">
        <f t="shared" si="13"/>
        <v>0.2105133020742618</v>
      </c>
      <c r="AK59" s="36">
        <f t="shared" si="13"/>
        <v>0.1231859525582865</v>
      </c>
      <c r="AL59" s="36">
        <f t="shared" si="13"/>
        <v>0.08905516116276671</v>
      </c>
      <c r="AM59" s="36">
        <f t="shared" si="13"/>
        <v>0.09760697399630035</v>
      </c>
      <c r="AN59" s="36">
        <f t="shared" si="13"/>
        <v>0.1233188877745829</v>
      </c>
      <c r="AO59" s="36">
        <f t="shared" si="13"/>
        <v>0.11709731722958529</v>
      </c>
      <c r="AP59" s="36">
        <f t="shared" si="13"/>
        <v>0.09528045744028628</v>
      </c>
      <c r="AQ59" s="36">
        <f t="shared" si="13"/>
        <v>0.09731132925243724</v>
      </c>
      <c r="AR59" s="36">
        <f t="shared" si="13"/>
        <v>0.131377943241664</v>
      </c>
      <c r="AS59" s="36">
        <f t="shared" si="13"/>
        <v>0.1493187601447589</v>
      </c>
      <c r="AT59" s="36">
        <f t="shared" si="13"/>
        <v>0.1316875636817307</v>
      </c>
      <c r="AU59" s="36">
        <f t="shared" si="13"/>
        <v>0.11998176571430624</v>
      </c>
      <c r="AV59" s="36">
        <f t="shared" si="13"/>
        <v>0.10095526443140511</v>
      </c>
      <c r="AW59" s="36">
        <f t="shared" si="13"/>
        <v>0.10583039783794976</v>
      </c>
      <c r="AX59" s="36">
        <f t="shared" si="13"/>
        <v>0.11274159216687953</v>
      </c>
      <c r="AY59" s="36">
        <f t="shared" si="13"/>
        <v>0.1038778190412663</v>
      </c>
      <c r="AZ59" s="36">
        <f t="shared" si="13"/>
        <v>0.10836913331992748</v>
      </c>
      <c r="BA59" s="36">
        <f t="shared" si="13"/>
        <v>0.10521562898165616</v>
      </c>
      <c r="BB59" s="36">
        <f t="shared" si="13"/>
        <v>0.04985307865316148</v>
      </c>
      <c r="BC59" s="36">
        <f t="shared" si="13"/>
        <v>0.05299263641512996</v>
      </c>
      <c r="BD59" s="36">
        <f t="shared" si="13"/>
        <v>2.2736660929432015</v>
      </c>
      <c r="BE59" s="34"/>
      <c r="BF59" s="36">
        <f>(2*(BF54-BF55))/BF57</f>
        <v>0.14903842760357222</v>
      </c>
      <c r="BG59" s="36"/>
      <c r="BH59" s="36">
        <f>(2*(BH54-BH55))/BH57</f>
        <v>0.13116336948292348</v>
      </c>
      <c r="BI59" s="36">
        <f>(2*(BI54-BI55))/BI57</f>
        <v>0.15312817901871711</v>
      </c>
    </row>
    <row r="60" spans="1:61" ht="12.75">
      <c r="A60" s="72" t="s">
        <v>509</v>
      </c>
      <c r="B60" s="234"/>
      <c r="C60" s="36">
        <v>0.0391</v>
      </c>
      <c r="D60" s="36">
        <v>0.0391</v>
      </c>
      <c r="E60" s="36">
        <v>0.0391</v>
      </c>
      <c r="F60" s="36">
        <v>0.0391</v>
      </c>
      <c r="G60" s="36">
        <v>0.0391</v>
      </c>
      <c r="H60" s="36">
        <v>0.0391</v>
      </c>
      <c r="I60" s="36">
        <v>0.0391</v>
      </c>
      <c r="J60" s="36">
        <v>0.0391</v>
      </c>
      <c r="K60" s="36">
        <v>0.0391</v>
      </c>
      <c r="L60" s="36">
        <v>0.0391</v>
      </c>
      <c r="M60" s="36">
        <v>0.0391</v>
      </c>
      <c r="N60" s="36">
        <v>0.0391</v>
      </c>
      <c r="O60" s="36">
        <v>0.0391</v>
      </c>
      <c r="P60" s="36">
        <v>0.0391</v>
      </c>
      <c r="Q60" s="36">
        <v>0.0391</v>
      </c>
      <c r="R60" s="36">
        <v>0.0391</v>
      </c>
      <c r="S60" s="36">
        <v>0.0391</v>
      </c>
      <c r="T60" s="36">
        <v>0.0391</v>
      </c>
      <c r="U60" s="36">
        <v>0.0391</v>
      </c>
      <c r="V60" s="36">
        <v>0.0391</v>
      </c>
      <c r="W60" s="36">
        <v>0.0391</v>
      </c>
      <c r="X60" s="36">
        <v>0.0391</v>
      </c>
      <c r="Y60" s="36">
        <v>0.0391</v>
      </c>
      <c r="Z60" s="36">
        <v>0.0391</v>
      </c>
      <c r="AA60" s="36">
        <v>0.0391</v>
      </c>
      <c r="AB60" s="36">
        <v>0.0391</v>
      </c>
      <c r="AC60" s="36">
        <v>0.0391</v>
      </c>
      <c r="AD60" s="36">
        <v>0.0391</v>
      </c>
      <c r="AE60" s="36">
        <v>0.0391</v>
      </c>
      <c r="AF60" s="36">
        <v>0.0391</v>
      </c>
      <c r="AG60" s="36">
        <v>0.0391</v>
      </c>
      <c r="AH60" s="36">
        <v>0.0391</v>
      </c>
      <c r="AI60" s="36">
        <v>0.0391</v>
      </c>
      <c r="AJ60" s="36">
        <v>0.0391</v>
      </c>
      <c r="AK60" s="36">
        <v>0.0391</v>
      </c>
      <c r="AL60" s="36">
        <v>0.0391</v>
      </c>
      <c r="AM60" s="36">
        <v>0.0391</v>
      </c>
      <c r="AN60" s="36">
        <v>0.0391</v>
      </c>
      <c r="AO60" s="36">
        <v>0.0391</v>
      </c>
      <c r="AP60" s="36">
        <v>0.0391</v>
      </c>
      <c r="AQ60" s="36">
        <v>0.0391</v>
      </c>
      <c r="AR60" s="36">
        <v>0.0391</v>
      </c>
      <c r="AS60" s="36">
        <v>0.0391</v>
      </c>
      <c r="AT60" s="36">
        <v>0.0391</v>
      </c>
      <c r="AU60" s="36">
        <v>0.0391</v>
      </c>
      <c r="AV60" s="36">
        <v>0.0391</v>
      </c>
      <c r="AW60" s="36">
        <v>0.0391</v>
      </c>
      <c r="AX60" s="36">
        <v>0.0391</v>
      </c>
      <c r="AY60" s="36">
        <v>0.0391</v>
      </c>
      <c r="AZ60" s="36">
        <v>0.0391</v>
      </c>
      <c r="BA60" s="36">
        <v>0.0391</v>
      </c>
      <c r="BB60" s="36">
        <v>0.0391</v>
      </c>
      <c r="BC60" s="36">
        <v>0.0391</v>
      </c>
      <c r="BD60" s="36">
        <v>0.0391</v>
      </c>
      <c r="BE60" s="36"/>
      <c r="BF60" s="36">
        <v>0.0391</v>
      </c>
      <c r="BG60" s="36"/>
      <c r="BH60" s="36">
        <v>0.0391</v>
      </c>
      <c r="BI60" s="36">
        <v>0.0391</v>
      </c>
    </row>
    <row r="61" spans="1:61" ht="12.75">
      <c r="A61" s="18"/>
      <c r="B61" s="239"/>
      <c r="O61" s="2"/>
      <c r="P61" s="2"/>
      <c r="BD61" s="2"/>
      <c r="BE61" s="34"/>
      <c r="BF61" s="41"/>
      <c r="BG61" s="41"/>
      <c r="BH61" s="41"/>
      <c r="BI61" s="41"/>
    </row>
    <row r="62" spans="1:61" ht="12.75">
      <c r="A62" s="72" t="s">
        <v>411</v>
      </c>
      <c r="B62" s="234"/>
      <c r="C62" s="36">
        <f aca="true" t="shared" si="14" ref="C62:BD62">+(1+C59)/(1+C60)-1</f>
        <v>0.09390120527739687</v>
      </c>
      <c r="D62" s="36">
        <f t="shared" si="14"/>
        <v>0.09156929490026977</v>
      </c>
      <c r="E62" s="36">
        <f t="shared" si="14"/>
        <v>0.11964826388285887</v>
      </c>
      <c r="F62" s="36">
        <f t="shared" si="14"/>
        <v>0.13620921415232856</v>
      </c>
      <c r="G62" s="36">
        <f t="shared" si="14"/>
        <v>0.1625621299891047</v>
      </c>
      <c r="H62" s="36">
        <f t="shared" si="14"/>
        <v>0.06740074813467323</v>
      </c>
      <c r="I62" s="36">
        <f t="shared" si="14"/>
        <v>0.06731342991761502</v>
      </c>
      <c r="J62" s="36">
        <f t="shared" si="14"/>
        <v>0.13330671844634878</v>
      </c>
      <c r="K62" s="36">
        <f t="shared" si="14"/>
        <v>0.08521158689475006</v>
      </c>
      <c r="L62" s="36">
        <f t="shared" si="14"/>
        <v>0.10094932490061082</v>
      </c>
      <c r="M62" s="36">
        <f t="shared" si="14"/>
        <v>0.07588622666405676</v>
      </c>
      <c r="N62" s="36">
        <f t="shared" si="14"/>
        <v>0.08795993096301302</v>
      </c>
      <c r="O62" s="36">
        <f t="shared" si="14"/>
        <v>0.07998349271043947</v>
      </c>
      <c r="P62" s="36">
        <f t="shared" si="14"/>
        <v>0.10209863444603573</v>
      </c>
      <c r="Q62" s="36">
        <f t="shared" si="14"/>
        <v>0.1555110147107479</v>
      </c>
      <c r="R62" s="36">
        <f t="shared" si="14"/>
        <v>0.1468732683278473</v>
      </c>
      <c r="S62" s="36">
        <f t="shared" si="14"/>
        <v>0.12414823769785199</v>
      </c>
      <c r="T62" s="36">
        <f t="shared" si="14"/>
        <v>0.08510248821451927</v>
      </c>
      <c r="U62" s="36">
        <f t="shared" si="14"/>
        <v>0.12291442470172509</v>
      </c>
      <c r="V62" s="36">
        <f t="shared" si="14"/>
        <v>0.0626005857561791</v>
      </c>
      <c r="W62" s="36">
        <f t="shared" si="14"/>
        <v>0.09369967288188241</v>
      </c>
      <c r="X62" s="36">
        <f t="shared" si="14"/>
        <v>0.0594904208017768</v>
      </c>
      <c r="Y62" s="36">
        <f t="shared" si="14"/>
        <v>0.1116598399735933</v>
      </c>
      <c r="Z62" s="36">
        <f t="shared" si="14"/>
        <v>0.07129693174305274</v>
      </c>
      <c r="AA62" s="36">
        <f t="shared" si="14"/>
        <v>0.04372578872051469</v>
      </c>
      <c r="AB62" s="36">
        <f t="shared" si="14"/>
        <v>0.04321473087452077</v>
      </c>
      <c r="AC62" s="36">
        <f t="shared" si="14"/>
        <v>0.1096736377376224</v>
      </c>
      <c r="AD62" s="36">
        <f t="shared" si="14"/>
        <v>0.034712578318266685</v>
      </c>
      <c r="AE62" s="36">
        <f t="shared" si="14"/>
        <v>0.05917626774025009</v>
      </c>
      <c r="AF62" s="36">
        <f t="shared" si="14"/>
        <v>0.05951595595330139</v>
      </c>
      <c r="AG62" s="36">
        <f t="shared" si="14"/>
        <v>0.1901322654798565</v>
      </c>
      <c r="AH62" s="36">
        <f t="shared" si="14"/>
        <v>0.06553904568223379</v>
      </c>
      <c r="AI62" s="36">
        <f t="shared" si="14"/>
        <v>0.0913955270636233</v>
      </c>
      <c r="AJ62" s="36">
        <f t="shared" si="14"/>
        <v>0.16496323941320545</v>
      </c>
      <c r="AK62" s="36">
        <f t="shared" si="14"/>
        <v>0.08092190603241911</v>
      </c>
      <c r="AL62" s="36">
        <f t="shared" si="14"/>
        <v>0.04807541253273695</v>
      </c>
      <c r="AM62" s="36">
        <f t="shared" si="14"/>
        <v>0.056305431619960045</v>
      </c>
      <c r="AN62" s="36">
        <f t="shared" si="14"/>
        <v>0.08104983906706109</v>
      </c>
      <c r="AO62" s="36">
        <f t="shared" si="14"/>
        <v>0.07506237824038631</v>
      </c>
      <c r="AP62" s="36">
        <f t="shared" si="14"/>
        <v>0.05406645889739825</v>
      </c>
      <c r="AQ62" s="36">
        <f t="shared" si="14"/>
        <v>0.05602091160854328</v>
      </c>
      <c r="AR62" s="36">
        <f t="shared" si="14"/>
        <v>0.0888056426154018</v>
      </c>
      <c r="AS62" s="36">
        <f t="shared" si="14"/>
        <v>0.10607136959364749</v>
      </c>
      <c r="AT62" s="36">
        <f t="shared" si="14"/>
        <v>0.08910361243550269</v>
      </c>
      <c r="AU62" s="36">
        <f t="shared" si="14"/>
        <v>0.07783828862891573</v>
      </c>
      <c r="AV62" s="36">
        <f t="shared" si="14"/>
        <v>0.05952773018131574</v>
      </c>
      <c r="AW62" s="36">
        <f t="shared" si="14"/>
        <v>0.06421941857179281</v>
      </c>
      <c r="AX62" s="36">
        <f t="shared" si="14"/>
        <v>0.07087055352408766</v>
      </c>
      <c r="AY62" s="36">
        <f t="shared" si="14"/>
        <v>0.06234031281038055</v>
      </c>
      <c r="AZ62" s="36">
        <f t="shared" si="14"/>
        <v>0.06666262469437734</v>
      </c>
      <c r="BA62" s="36">
        <f t="shared" si="14"/>
        <v>0.0636277826789109</v>
      </c>
      <c r="BB62" s="36">
        <f t="shared" si="14"/>
        <v>0.010348454097932391</v>
      </c>
      <c r="BC62" s="36">
        <f t="shared" si="14"/>
        <v>0.013369874328871045</v>
      </c>
      <c r="BD62" s="36">
        <f t="shared" si="14"/>
        <v>2.1504822374585717</v>
      </c>
      <c r="BE62" s="36"/>
      <c r="BF62" s="36">
        <f>+(1+BF59)/(1+BF60)-1</f>
        <v>0.10580158560636344</v>
      </c>
      <c r="BG62" s="36"/>
      <c r="BH62" s="36">
        <f>+(1+BH59)/(1+BH60)-1</f>
        <v>0.08859914299193883</v>
      </c>
      <c r="BI62" s="36">
        <f>+(1+BI59)/(1+BI60)-1</f>
        <v>0.10973744492225701</v>
      </c>
    </row>
    <row r="63" spans="5:61" ht="12.75">
      <c r="E63" s="34"/>
      <c r="F63" s="34"/>
      <c r="L63" s="34"/>
      <c r="M63" s="34"/>
      <c r="N63" s="10"/>
      <c r="Q63" s="10"/>
      <c r="R63" s="10"/>
      <c r="S63" s="34"/>
      <c r="T63" s="34"/>
      <c r="U63" s="34"/>
      <c r="V63" s="10"/>
      <c r="X63" s="34"/>
      <c r="Z63" s="34"/>
      <c r="AA63" s="34"/>
      <c r="AC63" s="34"/>
      <c r="AD63" s="34"/>
      <c r="AF63" s="34"/>
      <c r="AG63" s="34"/>
      <c r="AI63" s="34"/>
      <c r="AL63" s="34"/>
      <c r="AM63" s="34"/>
      <c r="AN63" s="34"/>
      <c r="AO63" s="34"/>
      <c r="AP63" s="10"/>
      <c r="AQ63" s="34"/>
      <c r="AR63" s="34"/>
      <c r="AT63" s="34"/>
      <c r="AV63" s="34"/>
      <c r="BA63" s="34"/>
      <c r="BC63" s="34"/>
      <c r="BD63" s="10"/>
      <c r="BE63" s="34"/>
      <c r="BF63" s="7"/>
      <c r="BG63" s="7"/>
      <c r="BH63" s="7"/>
      <c r="BI63" s="7"/>
    </row>
    <row r="64" spans="1:61" ht="12.75">
      <c r="A64" s="14" t="s">
        <v>270</v>
      </c>
      <c r="B64" s="71"/>
      <c r="E64" s="34"/>
      <c r="F64" s="34"/>
      <c r="L64" s="34"/>
      <c r="M64" s="34"/>
      <c r="N64" s="10"/>
      <c r="Q64" s="10"/>
      <c r="R64" s="10"/>
      <c r="S64" s="34"/>
      <c r="T64" s="34"/>
      <c r="U64" s="34"/>
      <c r="V64" s="10"/>
      <c r="X64" s="34"/>
      <c r="Z64" s="34"/>
      <c r="AA64" s="34"/>
      <c r="AC64" s="34"/>
      <c r="AD64" s="34"/>
      <c r="AF64" s="34"/>
      <c r="AG64" s="34"/>
      <c r="AI64" s="34"/>
      <c r="AL64" s="34"/>
      <c r="AM64" s="34"/>
      <c r="AN64" s="34"/>
      <c r="AO64" s="34"/>
      <c r="AP64" s="10"/>
      <c r="AQ64" s="34"/>
      <c r="AR64" s="34"/>
      <c r="AT64" s="34"/>
      <c r="AV64" s="34"/>
      <c r="BA64" s="34"/>
      <c r="BC64" s="34"/>
      <c r="BD64" s="10"/>
      <c r="BE64" s="34"/>
      <c r="BF64" s="7"/>
      <c r="BG64" s="7"/>
      <c r="BH64" s="7"/>
      <c r="BI64" s="7"/>
    </row>
    <row r="65" spans="1:61" ht="12.75">
      <c r="A65" s="74" t="s">
        <v>352</v>
      </c>
      <c r="B65" s="237"/>
      <c r="C65" s="5">
        <f>+'4.1. Samtryggingard.'!B17</f>
        <v>10937239</v>
      </c>
      <c r="D65" s="5">
        <f>+'4.1. Samtryggingard.'!C17</f>
        <v>208445</v>
      </c>
      <c r="E65" s="5">
        <f>+'4.1. Samtryggingard.'!D17</f>
        <v>2625388</v>
      </c>
      <c r="F65" s="5">
        <f>+'4.1. Samtryggingard.'!E17</f>
        <v>2284585.5</v>
      </c>
      <c r="G65" s="5">
        <f>+'4.1. Samtryggingard.'!F17</f>
        <v>1403286</v>
      </c>
      <c r="H65" s="5">
        <f>+'4.1. Samtryggingard.'!G17</f>
        <v>1700685</v>
      </c>
      <c r="I65" s="5">
        <f>+'4.1. Samtryggingard.'!H17</f>
        <v>2501</v>
      </c>
      <c r="J65" s="5">
        <f>+'4.1. Samtryggingard.'!I17</f>
        <v>1137655</v>
      </c>
      <c r="K65" s="5">
        <f>+'4.1. Samtryggingard.'!J17</f>
        <v>20307</v>
      </c>
      <c r="L65" s="5">
        <f>+'4.1. Samtryggingard.'!K17</f>
        <v>357626</v>
      </c>
      <c r="M65" s="5">
        <f>+'4.1. Samtryggingard.'!L17</f>
        <v>39385</v>
      </c>
      <c r="N65" s="5">
        <f>+'4.1. Samtryggingard.'!M17</f>
        <v>304400</v>
      </c>
      <c r="O65" s="5">
        <f>+'4.1. Samtryggingard.'!N17</f>
        <v>709745</v>
      </c>
      <c r="P65" s="5">
        <f>+'4.1. Samtryggingard.'!O17</f>
        <v>24907</v>
      </c>
      <c r="Q65" s="5">
        <f>+'4.1. Samtryggingard.'!P17</f>
        <v>866920</v>
      </c>
      <c r="R65" s="5">
        <f>+'4.1. Samtryggingard.'!Q17</f>
        <v>9207</v>
      </c>
      <c r="S65" s="5">
        <f>+'4.1. Samtryggingard.'!R17</f>
        <v>383300</v>
      </c>
      <c r="T65" s="5">
        <f>+'4.1. Samtryggingard.'!S17</f>
        <v>449774</v>
      </c>
      <c r="U65" s="5">
        <f>+'4.1. Samtryggingard.'!T17</f>
        <v>405756</v>
      </c>
      <c r="V65" s="5">
        <f>+'4.1. Samtryggingard.'!U17</f>
        <v>178129</v>
      </c>
      <c r="W65" s="5">
        <f>+'4.1. Samtryggingard.'!V17</f>
        <v>743689</v>
      </c>
      <c r="X65" s="5">
        <f>+'4.1. Samtryggingard.'!W17</f>
        <v>556905</v>
      </c>
      <c r="Y65" s="5">
        <f>+'4.1. Samtryggingard.'!X17</f>
        <v>345319</v>
      </c>
      <c r="Z65" s="5">
        <f>+'4.1. Samtryggingard.'!Y17</f>
        <v>671733</v>
      </c>
      <c r="AA65" s="5">
        <f>+'4.1. Samtryggingard.'!Z17</f>
        <v>80894.648</v>
      </c>
      <c r="AB65" s="5">
        <f>+'4.1. Samtryggingard.'!AA17</f>
        <v>3056.95</v>
      </c>
      <c r="AC65" s="5">
        <f>+'4.1. Samtryggingard.'!AB17</f>
        <v>329359</v>
      </c>
      <c r="AD65" s="5">
        <f>+'4.1. Samtryggingard.'!AC17</f>
        <v>1355574</v>
      </c>
      <c r="AE65" s="5">
        <f>+'4.1. Samtryggingard.'!AD17</f>
        <v>948.925</v>
      </c>
      <c r="AF65" s="5">
        <f>+'4.1. Samtryggingard.'!AE17</f>
        <v>317399</v>
      </c>
      <c r="AG65" s="5">
        <f>+'4.1. Samtryggingard.'!AF17</f>
        <v>289943.646</v>
      </c>
      <c r="AH65" s="5">
        <f>+'4.1. Samtryggingard.'!AG17</f>
        <v>207042</v>
      </c>
      <c r="AI65" s="5">
        <f>+'4.1. Samtryggingard.'!AH17</f>
        <v>111190</v>
      </c>
      <c r="AJ65" s="5">
        <f>+'4.1. Samtryggingard.'!AI17</f>
        <v>121540</v>
      </c>
      <c r="AK65" s="5">
        <f>+'4.1. Samtryggingard.'!AJ17</f>
        <v>29368</v>
      </c>
      <c r="AL65" s="5">
        <f>+'4.1. Samtryggingard.'!AK17</f>
        <v>70974</v>
      </c>
      <c r="AM65" s="5">
        <f>+'4.1. Samtryggingard.'!AL17</f>
        <v>58739</v>
      </c>
      <c r="AN65" s="5">
        <f>+'4.1. Samtryggingard.'!AM17</f>
        <v>103385</v>
      </c>
      <c r="AO65" s="5">
        <f>+'4.1. Samtryggingard.'!AN17</f>
        <v>1229</v>
      </c>
      <c r="AP65" s="5">
        <f>+'4.1. Samtryggingard.'!AO17</f>
        <v>118439</v>
      </c>
      <c r="AQ65" s="5">
        <f>+'4.1. Samtryggingard.'!AP17</f>
        <v>122499</v>
      </c>
      <c r="AR65" s="5">
        <f>+'4.1. Samtryggingard.'!AQ17</f>
        <v>75638</v>
      </c>
      <c r="AS65" s="5">
        <f>+'4.1. Samtryggingard.'!AR17</f>
        <v>180957</v>
      </c>
      <c r="AT65" s="5">
        <f>+'4.1. Samtryggingard.'!AS17</f>
        <v>111446</v>
      </c>
      <c r="AU65" s="5">
        <f>+'4.1. Samtryggingard.'!AT17</f>
        <v>39931.464</v>
      </c>
      <c r="AV65" s="5">
        <f>+'4.1. Samtryggingard.'!AU17</f>
        <v>38883.086</v>
      </c>
      <c r="AW65" s="5">
        <f>+'4.1. Samtryggingard.'!AV17</f>
        <v>78417</v>
      </c>
      <c r="AX65" s="5">
        <f>+'4.1. Samtryggingard.'!AW17</f>
        <v>37903</v>
      </c>
      <c r="AY65" s="5">
        <f>+'4.1. Samtryggingard.'!AX17</f>
        <v>38926</v>
      </c>
      <c r="AZ65" s="5">
        <f>+'4.1. Samtryggingard.'!AY17</f>
        <v>40044.483</v>
      </c>
      <c r="BA65" s="5">
        <f>+'4.1. Samtryggingard.'!AZ17</f>
        <v>35020</v>
      </c>
      <c r="BB65" s="5">
        <f>+'4.1. Samtryggingard.'!BA17</f>
        <v>143765</v>
      </c>
      <c r="BC65" s="5">
        <f>+'4.1. Samtryggingard.'!BB17</f>
        <v>797</v>
      </c>
      <c r="BD65" s="5">
        <f>+'4.1. Samtryggingard.'!BC17</f>
        <v>56222</v>
      </c>
      <c r="BE65" s="5"/>
      <c r="BF65" s="5">
        <f>+'4.1. Samtryggingard.'!BE17</f>
        <v>30566417.702</v>
      </c>
      <c r="BG65" s="5"/>
      <c r="BH65" s="5">
        <f>+'4.1. Samtryggingard.'!BG17</f>
        <v>14063869.483</v>
      </c>
      <c r="BI65" s="5">
        <f>+'4.1. Samtryggingard.'!BH17</f>
        <v>16502548.218999999</v>
      </c>
    </row>
    <row r="66" spans="1:61" ht="12.75">
      <c r="A66" s="74"/>
      <c r="B66" s="23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7"/>
      <c r="P66" s="7"/>
      <c r="Q66" s="7"/>
      <c r="R66" s="7"/>
      <c r="S66" s="5"/>
      <c r="T66" s="5"/>
      <c r="U66" s="5"/>
      <c r="V66" s="7"/>
      <c r="W66" s="5"/>
      <c r="X66" s="5"/>
      <c r="Y66" s="5"/>
      <c r="Z66" s="5"/>
      <c r="AA66" s="5"/>
      <c r="AB66" s="5"/>
      <c r="AC66" s="5"/>
      <c r="AD66" s="5"/>
      <c r="AE66" s="7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7"/>
      <c r="AQ66" s="5"/>
      <c r="AR66" s="5"/>
      <c r="AS66" s="7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7"/>
      <c r="BF66" s="7"/>
      <c r="BG66" s="7"/>
      <c r="BH66" s="7"/>
      <c r="BI66" s="5"/>
    </row>
    <row r="67" spans="1:62" ht="12.75">
      <c r="A67" s="10" t="s">
        <v>353</v>
      </c>
      <c r="B67" s="71"/>
      <c r="C67" s="5">
        <f aca="true" t="shared" si="15" ref="C67:AF67">+C65*(C21/100)</f>
        <v>8093556.86</v>
      </c>
      <c r="D67" s="5">
        <f t="shared" si="15"/>
        <v>26889.405000000002</v>
      </c>
      <c r="E67" s="5">
        <f t="shared" si="15"/>
        <v>1564731.248</v>
      </c>
      <c r="F67" s="5">
        <f t="shared" si="15"/>
        <v>1427865.9375</v>
      </c>
      <c r="G67" s="5">
        <f t="shared" si="15"/>
        <v>617445.84</v>
      </c>
      <c r="H67" s="5">
        <f t="shared" si="15"/>
        <v>1085037.03</v>
      </c>
      <c r="I67" s="5">
        <f t="shared" si="15"/>
        <v>57.522999999999996</v>
      </c>
      <c r="J67" s="5">
        <f t="shared" si="15"/>
        <v>624572.595</v>
      </c>
      <c r="K67" s="5">
        <f>+K65*(K21/100)</f>
        <v>2782.0589999999997</v>
      </c>
      <c r="L67" s="5">
        <f t="shared" si="15"/>
        <v>194548.54400000002</v>
      </c>
      <c r="M67" s="5">
        <f t="shared" si="15"/>
        <v>12800.125</v>
      </c>
      <c r="N67" s="5">
        <f t="shared" si="15"/>
        <v>163767.19999999998</v>
      </c>
      <c r="O67" s="5">
        <f t="shared" si="15"/>
        <v>579151.9199999999</v>
      </c>
      <c r="P67" s="5">
        <f t="shared" si="15"/>
        <v>14695.13</v>
      </c>
      <c r="Q67" s="5">
        <f t="shared" si="15"/>
        <v>605977.0800000001</v>
      </c>
      <c r="R67" s="5">
        <f t="shared" si="15"/>
        <v>414.315</v>
      </c>
      <c r="S67" s="5">
        <f>+S65*(S21/100)</f>
        <v>305490.10000000003</v>
      </c>
      <c r="T67" s="5">
        <f t="shared" si="15"/>
        <v>208695.136</v>
      </c>
      <c r="U67" s="5">
        <f t="shared" si="15"/>
        <v>192328.34399999998</v>
      </c>
      <c r="V67" s="7">
        <f t="shared" si="15"/>
        <v>138228.104</v>
      </c>
      <c r="W67" s="5">
        <f>+W65*(W21/100)</f>
        <v>648496.808</v>
      </c>
      <c r="X67" s="5">
        <f t="shared" si="15"/>
        <v>280680.12</v>
      </c>
      <c r="Y67" s="5">
        <f t="shared" si="15"/>
        <v>150213.76499999998</v>
      </c>
      <c r="Z67" s="5">
        <f t="shared" si="15"/>
        <v>494731.3545</v>
      </c>
      <c r="AA67" s="5">
        <f>+AA65*(AA21/100)</f>
        <v>39719.272168</v>
      </c>
      <c r="AB67" s="5">
        <f>+AB65*(AB21/100)</f>
        <v>1213.60915</v>
      </c>
      <c r="AC67" s="5">
        <f>+AC65*(AC21/100)</f>
        <v>195968.60499999998</v>
      </c>
      <c r="AD67" s="5">
        <f t="shared" si="15"/>
        <v>927212.616</v>
      </c>
      <c r="AE67" s="7">
        <f>+AE65*(AE21/100)</f>
        <v>0</v>
      </c>
      <c r="AF67" s="5">
        <f t="shared" si="15"/>
        <v>254236.599</v>
      </c>
      <c r="AG67" s="5">
        <f aca="true" t="shared" si="16" ref="AG67:BD67">+AG65*(AG21/100)</f>
        <v>223285.6017846</v>
      </c>
      <c r="AH67" s="5">
        <f t="shared" si="16"/>
        <v>101036.496</v>
      </c>
      <c r="AI67" s="5">
        <f t="shared" si="16"/>
        <v>94956.26000000001</v>
      </c>
      <c r="AJ67" s="5">
        <f t="shared" si="16"/>
        <v>86779.56000000001</v>
      </c>
      <c r="AK67" s="5">
        <f t="shared" si="16"/>
        <v>22231.576</v>
      </c>
      <c r="AL67" s="5">
        <f t="shared" si="16"/>
        <v>41661.738000000005</v>
      </c>
      <c r="AM67" s="5">
        <f t="shared" si="16"/>
        <v>29780.673</v>
      </c>
      <c r="AN67" s="5">
        <f t="shared" si="16"/>
        <v>83741.85</v>
      </c>
      <c r="AO67" s="5">
        <f t="shared" si="16"/>
        <v>0</v>
      </c>
      <c r="AP67" s="5">
        <f t="shared" si="16"/>
        <v>89421.445</v>
      </c>
      <c r="AQ67" s="5">
        <f t="shared" si="16"/>
        <v>97999.20000000001</v>
      </c>
      <c r="AR67" s="5">
        <f t="shared" si="16"/>
        <v>55215.74</v>
      </c>
      <c r="AS67" s="5">
        <f t="shared" si="16"/>
        <v>129203.29800000001</v>
      </c>
      <c r="AT67" s="5">
        <f t="shared" si="16"/>
        <v>80129.67400000001</v>
      </c>
      <c r="AU67" s="5">
        <f t="shared" si="16"/>
        <v>31905.239736000003</v>
      </c>
      <c r="AV67" s="5">
        <f t="shared" si="16"/>
        <v>34061.583335999996</v>
      </c>
      <c r="AW67" s="5">
        <f t="shared" si="16"/>
        <v>58969.584</v>
      </c>
      <c r="AX67" s="5">
        <f t="shared" si="16"/>
        <v>29185.31</v>
      </c>
      <c r="AY67" s="5">
        <f t="shared" si="16"/>
        <v>29583.760000000002</v>
      </c>
      <c r="AZ67" s="5">
        <f t="shared" si="16"/>
        <v>29993.317767000004</v>
      </c>
      <c r="BA67" s="5">
        <f t="shared" si="16"/>
        <v>20311.6</v>
      </c>
      <c r="BB67" s="5">
        <f t="shared" si="16"/>
        <v>102216.915</v>
      </c>
      <c r="BC67" s="5">
        <f t="shared" si="16"/>
        <v>0</v>
      </c>
      <c r="BD67" s="5">
        <f t="shared" si="16"/>
        <v>33395.867999999995</v>
      </c>
      <c r="BE67" s="5"/>
      <c r="BF67" s="7">
        <f aca="true" t="shared" si="17" ref="BF67:BF72">SUM(C67:BD67)</f>
        <v>20356573.533941604</v>
      </c>
      <c r="BG67" s="7"/>
      <c r="BH67" s="7">
        <f aca="true" t="shared" si="18" ref="BH67:BH72">+C67+W67+AD67+AI67+AK67+AP67+AQ67+AS67+AT67+AW67+AZ67+BA67+BB67+BD67</f>
        <v>10428095.021767</v>
      </c>
      <c r="BI67" s="7">
        <f aca="true" t="shared" si="19" ref="BI67:BI72">+D67+E67+F67+G67+H67+I67+J67+K67+L67+M67+N67+O67+P67+Q67+R67+S67+T67+U67+V67+X67+Y67+Z67+AA67+AB67+AC67+AE67+AF67+AG67+AH67+AJ67+AL67+AM67+AN67+AO67+AR67+AU67+AV67+AX67+AY67+BC67</f>
        <v>9928478.512174599</v>
      </c>
      <c r="BJ67" s="47"/>
    </row>
    <row r="68" spans="1:77" ht="12.75">
      <c r="A68" s="10" t="s">
        <v>354</v>
      </c>
      <c r="B68" s="71"/>
      <c r="C68" s="5">
        <f aca="true" t="shared" si="20" ref="C68:AF68">+C65*(C22/100)</f>
        <v>503112.994</v>
      </c>
      <c r="D68" s="5">
        <f t="shared" si="20"/>
        <v>167381.335</v>
      </c>
      <c r="E68" s="5">
        <f t="shared" si="20"/>
        <v>714105.5360000001</v>
      </c>
      <c r="F68" s="5">
        <f t="shared" si="20"/>
        <v>676237.3080000001</v>
      </c>
      <c r="G68" s="5">
        <f t="shared" si="20"/>
        <v>603412.98</v>
      </c>
      <c r="H68" s="5">
        <f t="shared" si="20"/>
        <v>323130.15</v>
      </c>
      <c r="I68" s="5">
        <f t="shared" si="20"/>
        <v>2020.8079999999998</v>
      </c>
      <c r="J68" s="5">
        <f t="shared" si="20"/>
        <v>383389.73500000004</v>
      </c>
      <c r="K68" s="5">
        <f>+K65*(K22/100)</f>
        <v>9117.843</v>
      </c>
      <c r="L68" s="5">
        <f t="shared" si="20"/>
        <v>122665.718</v>
      </c>
      <c r="M68" s="5">
        <f t="shared" si="20"/>
        <v>23394.69</v>
      </c>
      <c r="N68" s="5">
        <f t="shared" si="20"/>
        <v>93450.8</v>
      </c>
      <c r="O68" s="5">
        <f t="shared" si="20"/>
        <v>40455.465000000004</v>
      </c>
      <c r="P68" s="5">
        <f t="shared" si="20"/>
        <v>6799.611000000001</v>
      </c>
      <c r="Q68" s="5">
        <f t="shared" si="20"/>
        <v>130904.92</v>
      </c>
      <c r="R68" s="5">
        <f t="shared" si="20"/>
        <v>7558.946999999999</v>
      </c>
      <c r="S68" s="5">
        <f>+S65*(S22/100)</f>
        <v>31430.599999999995</v>
      </c>
      <c r="T68" s="5">
        <f t="shared" si="20"/>
        <v>193402.82</v>
      </c>
      <c r="U68" s="5">
        <f t="shared" si="20"/>
        <v>150129.72</v>
      </c>
      <c r="V68" s="7">
        <f t="shared" si="20"/>
        <v>12469.03</v>
      </c>
      <c r="W68" s="5">
        <f>+W65*(W22/100)</f>
        <v>75856.27799999999</v>
      </c>
      <c r="X68" s="5">
        <f t="shared" si="20"/>
        <v>209953.185</v>
      </c>
      <c r="Y68" s="5">
        <f t="shared" si="20"/>
        <v>148141.851</v>
      </c>
      <c r="Z68" s="5">
        <f t="shared" si="20"/>
        <v>107074.24019999999</v>
      </c>
      <c r="AA68" s="5">
        <f>+AA65*(AA22/100)</f>
        <v>30982.650184</v>
      </c>
      <c r="AB68" s="5">
        <f>+AB65*(AB22/100)</f>
        <v>1274.7481500000001</v>
      </c>
      <c r="AC68" s="5">
        <f>+AC65*(AC22/100)</f>
        <v>99466.41799999999</v>
      </c>
      <c r="AD68" s="5">
        <f t="shared" si="20"/>
        <v>94890.18000000001</v>
      </c>
      <c r="AE68" s="7">
        <f>+AE65*(AE22/100)</f>
        <v>533.865205</v>
      </c>
      <c r="AF68" s="5">
        <f t="shared" si="20"/>
        <v>30470.304</v>
      </c>
      <c r="AG68" s="5">
        <f aca="true" t="shared" si="21" ref="AG68:BD68">+AG65*(AG22/100)</f>
        <v>54799.349094</v>
      </c>
      <c r="AH68" s="5">
        <f t="shared" si="21"/>
        <v>86750.598</v>
      </c>
      <c r="AI68" s="5">
        <f t="shared" si="21"/>
        <v>111.19</v>
      </c>
      <c r="AJ68" s="5">
        <f t="shared" si="21"/>
        <v>9844.74</v>
      </c>
      <c r="AK68" s="5">
        <f t="shared" si="21"/>
        <v>0</v>
      </c>
      <c r="AL68" s="5">
        <f t="shared" si="21"/>
        <v>19943.694000000003</v>
      </c>
      <c r="AM68" s="5">
        <f t="shared" si="21"/>
        <v>23671.817</v>
      </c>
      <c r="AN68" s="5">
        <f t="shared" si="21"/>
        <v>827.08</v>
      </c>
      <c r="AO68" s="5">
        <f t="shared" si="21"/>
        <v>1089.5085000000001</v>
      </c>
      <c r="AP68" s="5">
        <f t="shared" si="21"/>
        <v>22977.165999999997</v>
      </c>
      <c r="AQ68" s="5">
        <f t="shared" si="21"/>
        <v>5879.952</v>
      </c>
      <c r="AR68" s="5">
        <f t="shared" si="21"/>
        <v>8320.18</v>
      </c>
      <c r="AS68" s="5">
        <f t="shared" si="21"/>
        <v>13028.904000000002</v>
      </c>
      <c r="AT68" s="5">
        <f t="shared" si="21"/>
        <v>13819.304</v>
      </c>
      <c r="AU68" s="5">
        <f t="shared" si="21"/>
        <v>559.040496</v>
      </c>
      <c r="AV68" s="5">
        <f t="shared" si="21"/>
        <v>3149.5299660000005</v>
      </c>
      <c r="AW68" s="5">
        <f t="shared" si="21"/>
        <v>4077.684</v>
      </c>
      <c r="AX68" s="5">
        <f t="shared" si="21"/>
        <v>1174.993</v>
      </c>
      <c r="AY68" s="5">
        <f t="shared" si="21"/>
        <v>389.26</v>
      </c>
      <c r="AZ68" s="5">
        <f t="shared" si="21"/>
        <v>4845.3824429999995</v>
      </c>
      <c r="BA68" s="5">
        <f t="shared" si="21"/>
        <v>2101.2</v>
      </c>
      <c r="BB68" s="5">
        <f t="shared" si="21"/>
        <v>2444.005</v>
      </c>
      <c r="BC68" s="5">
        <f t="shared" si="21"/>
        <v>0</v>
      </c>
      <c r="BD68" s="5">
        <f t="shared" si="21"/>
        <v>5172.424</v>
      </c>
      <c r="BE68" s="5"/>
      <c r="BF68" s="7">
        <f t="shared" si="17"/>
        <v>5278191.731237997</v>
      </c>
      <c r="BG68" s="7"/>
      <c r="BH68" s="7">
        <f t="shared" si="18"/>
        <v>748316.6634429999</v>
      </c>
      <c r="BI68" s="7">
        <f t="shared" si="19"/>
        <v>4529875.067794998</v>
      </c>
      <c r="BJ68" s="47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</row>
    <row r="69" spans="1:77" ht="12.75">
      <c r="A69" s="10" t="s">
        <v>355</v>
      </c>
      <c r="B69" s="71"/>
      <c r="C69" s="5">
        <f aca="true" t="shared" si="22" ref="C69:AF69">+C65*(C23/100)</f>
        <v>2351506.385</v>
      </c>
      <c r="D69" s="5">
        <f t="shared" si="22"/>
        <v>10839.140000000001</v>
      </c>
      <c r="E69" s="5">
        <f t="shared" si="22"/>
        <v>275665.74</v>
      </c>
      <c r="F69" s="5">
        <f t="shared" si="22"/>
        <v>134790.54450000002</v>
      </c>
      <c r="G69" s="5">
        <f t="shared" si="22"/>
        <v>140328.6</v>
      </c>
      <c r="H69" s="5">
        <f t="shared" si="22"/>
        <v>253402.065</v>
      </c>
      <c r="I69" s="5">
        <f t="shared" si="22"/>
        <v>95.038</v>
      </c>
      <c r="J69" s="5">
        <f t="shared" si="22"/>
        <v>97838.32999999999</v>
      </c>
      <c r="K69" s="5">
        <f>+K65*(K23/100)</f>
        <v>2477.4539999999997</v>
      </c>
      <c r="L69" s="5">
        <f t="shared" si="22"/>
        <v>30040.584000000003</v>
      </c>
      <c r="M69" s="5">
        <f t="shared" si="22"/>
        <v>2126.7900000000004</v>
      </c>
      <c r="N69" s="5">
        <f t="shared" si="22"/>
        <v>40485.200000000004</v>
      </c>
      <c r="O69" s="5">
        <f t="shared" si="22"/>
        <v>89427.87</v>
      </c>
      <c r="P69" s="5">
        <f t="shared" si="22"/>
        <v>3013.747</v>
      </c>
      <c r="Q69" s="5">
        <f t="shared" si="22"/>
        <v>124836.48000000001</v>
      </c>
      <c r="R69" s="5">
        <f t="shared" si="22"/>
        <v>138.105</v>
      </c>
      <c r="S69" s="5">
        <f>+S65*(S23/100)</f>
        <v>44462.799999999996</v>
      </c>
      <c r="T69" s="5">
        <f t="shared" si="22"/>
        <v>37781.016</v>
      </c>
      <c r="U69" s="5">
        <f t="shared" si="22"/>
        <v>49096.475999999995</v>
      </c>
      <c r="V69" s="7">
        <f t="shared" si="22"/>
        <v>23334.899</v>
      </c>
      <c r="W69" s="5">
        <f>+W65*(W23/100)</f>
        <v>18592.225000000002</v>
      </c>
      <c r="X69" s="5">
        <f t="shared" si="22"/>
        <v>50121.45</v>
      </c>
      <c r="Y69" s="5">
        <f t="shared" si="22"/>
        <v>37639.771</v>
      </c>
      <c r="Z69" s="5">
        <f t="shared" si="22"/>
        <v>57769.03799999999</v>
      </c>
      <c r="AA69" s="5">
        <f>+AA65*(AA23/100)</f>
        <v>3154.891272</v>
      </c>
      <c r="AB69" s="5">
        <f>+AB65*(AB23/100)</f>
        <v>0</v>
      </c>
      <c r="AC69" s="5">
        <f>+AC65*(AC23/100)</f>
        <v>26678.079</v>
      </c>
      <c r="AD69" s="5">
        <f t="shared" si="22"/>
        <v>329404.482</v>
      </c>
      <c r="AE69" s="7">
        <f>+AE65*(AE23/100)</f>
        <v>414.96490249999994</v>
      </c>
      <c r="AF69" s="5">
        <f t="shared" si="22"/>
        <v>29518.107000000004</v>
      </c>
      <c r="AG69" s="5">
        <f aca="true" t="shared" si="23" ref="AG69:BD69">+AG65*(AG23/100)</f>
        <v>11336.796558600001</v>
      </c>
      <c r="AH69" s="5">
        <f t="shared" si="23"/>
        <v>11594.351999999999</v>
      </c>
      <c r="AI69" s="5">
        <f t="shared" si="23"/>
        <v>16122.55</v>
      </c>
      <c r="AJ69" s="5">
        <f t="shared" si="23"/>
        <v>24672.620000000003</v>
      </c>
      <c r="AK69" s="5">
        <f t="shared" si="23"/>
        <v>7136.424</v>
      </c>
      <c r="AL69" s="5">
        <f t="shared" si="23"/>
        <v>7523.244</v>
      </c>
      <c r="AM69" s="5">
        <f t="shared" si="23"/>
        <v>4581.642</v>
      </c>
      <c r="AN69" s="5">
        <f t="shared" si="23"/>
        <v>18816.07</v>
      </c>
      <c r="AO69" s="5">
        <f t="shared" si="23"/>
        <v>139.36860000000001</v>
      </c>
      <c r="AP69" s="5">
        <f t="shared" si="23"/>
        <v>5921.950000000001</v>
      </c>
      <c r="AQ69" s="5">
        <f t="shared" si="23"/>
        <v>18007.353</v>
      </c>
      <c r="AR69" s="5">
        <f t="shared" si="23"/>
        <v>12102.08</v>
      </c>
      <c r="AS69" s="5">
        <f t="shared" si="23"/>
        <v>37639.056000000004</v>
      </c>
      <c r="AT69" s="5">
        <f t="shared" si="23"/>
        <v>17274.13</v>
      </c>
      <c r="AU69" s="5">
        <f t="shared" si="23"/>
        <v>7147.732056</v>
      </c>
      <c r="AV69" s="5">
        <f t="shared" si="23"/>
        <v>1594.206526</v>
      </c>
      <c r="AW69" s="5">
        <f t="shared" si="23"/>
        <v>15369.732</v>
      </c>
      <c r="AX69" s="5">
        <f t="shared" si="23"/>
        <v>7542.696999999999</v>
      </c>
      <c r="AY69" s="5">
        <f t="shared" si="23"/>
        <v>8952.98</v>
      </c>
      <c r="AZ69" s="5">
        <f t="shared" si="23"/>
        <v>4725.2489940000005</v>
      </c>
      <c r="BA69" s="5">
        <f t="shared" si="23"/>
        <v>12607.199999999999</v>
      </c>
      <c r="BB69" s="5">
        <f t="shared" si="23"/>
        <v>38672.784999999996</v>
      </c>
      <c r="BC69" s="5">
        <f t="shared" si="23"/>
        <v>0</v>
      </c>
      <c r="BD69" s="5">
        <f t="shared" si="23"/>
        <v>17035.266</v>
      </c>
      <c r="BE69" s="5"/>
      <c r="BF69" s="7">
        <f t="shared" si="17"/>
        <v>4571495.7554091</v>
      </c>
      <c r="BG69" s="7"/>
      <c r="BH69" s="7">
        <f t="shared" si="18"/>
        <v>2890014.7869939995</v>
      </c>
      <c r="BI69" s="7">
        <f t="shared" si="19"/>
        <v>1681480.9684151</v>
      </c>
      <c r="BJ69" s="47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</row>
    <row r="70" spans="1:77" ht="12.75">
      <c r="A70" s="10" t="s">
        <v>356</v>
      </c>
      <c r="B70" s="71"/>
      <c r="C70" s="5">
        <f aca="true" t="shared" si="24" ref="C70:AF70">+C65*(C24/100)</f>
        <v>10937.239</v>
      </c>
      <c r="D70" s="5">
        <f t="shared" si="24"/>
        <v>3335.12</v>
      </c>
      <c r="E70" s="5">
        <f t="shared" si="24"/>
        <v>70885.47600000001</v>
      </c>
      <c r="F70" s="5">
        <f t="shared" si="24"/>
        <v>45691.71</v>
      </c>
      <c r="G70" s="5">
        <f t="shared" si="24"/>
        <v>42098.58</v>
      </c>
      <c r="H70" s="5">
        <f t="shared" si="24"/>
        <v>32313.015</v>
      </c>
      <c r="I70" s="5">
        <f t="shared" si="24"/>
        <v>327.63100000000003</v>
      </c>
      <c r="J70" s="5">
        <f t="shared" si="24"/>
        <v>31854.339999999997</v>
      </c>
      <c r="K70" s="5">
        <f>+K65*(K24/100)</f>
        <v>1421.4900000000002</v>
      </c>
      <c r="L70" s="5">
        <f t="shared" si="24"/>
        <v>10371.153999999999</v>
      </c>
      <c r="M70" s="5">
        <f t="shared" si="24"/>
        <v>1063.3950000000002</v>
      </c>
      <c r="N70" s="5">
        <f t="shared" si="24"/>
        <v>6696.800000000001</v>
      </c>
      <c r="O70" s="5">
        <f t="shared" si="24"/>
        <v>709.745</v>
      </c>
      <c r="P70" s="5">
        <f t="shared" si="24"/>
        <v>398.512</v>
      </c>
      <c r="Q70" s="5">
        <f t="shared" si="24"/>
        <v>5201.52</v>
      </c>
      <c r="R70" s="5">
        <f t="shared" si="24"/>
        <v>1095.633</v>
      </c>
      <c r="S70" s="5">
        <f>+S65*(S24/100)</f>
        <v>1916.5</v>
      </c>
      <c r="T70" s="5">
        <f t="shared" si="24"/>
        <v>10344.802</v>
      </c>
      <c r="U70" s="5">
        <f t="shared" si="24"/>
        <v>14201.460000000001</v>
      </c>
      <c r="V70" s="7">
        <f t="shared" si="24"/>
        <v>4096.967</v>
      </c>
      <c r="W70" s="5">
        <f>+W65*(W24/100)</f>
        <v>743.689</v>
      </c>
      <c r="X70" s="5">
        <f t="shared" si="24"/>
        <v>16150.244999999999</v>
      </c>
      <c r="Y70" s="5">
        <f t="shared" si="24"/>
        <v>9323.613000000001</v>
      </c>
      <c r="Z70" s="5">
        <f t="shared" si="24"/>
        <v>12091.194000000001</v>
      </c>
      <c r="AA70" s="5">
        <f>+AA65*(AA24/100)</f>
        <v>7118.729024000001</v>
      </c>
      <c r="AB70" s="5">
        <f>+AB65*(AB24/100)</f>
        <v>565.53575</v>
      </c>
      <c r="AC70" s="5">
        <f>+AC65*(AC24/100)</f>
        <v>7245.898000000001</v>
      </c>
      <c r="AD70" s="5">
        <f t="shared" si="24"/>
        <v>4066.722</v>
      </c>
      <c r="AE70" s="7">
        <f>+AE65*(AE24/100)</f>
        <v>0</v>
      </c>
      <c r="AF70" s="5">
        <f t="shared" si="24"/>
        <v>3173.9900000000002</v>
      </c>
      <c r="AG70" s="5">
        <f aca="true" t="shared" si="25" ref="AG70:BD70">+AG65*(AG24/100)</f>
        <v>521.8985628</v>
      </c>
      <c r="AH70" s="5">
        <f t="shared" si="25"/>
        <v>7660.554000000001</v>
      </c>
      <c r="AI70" s="5">
        <f t="shared" si="25"/>
        <v>0</v>
      </c>
      <c r="AJ70" s="5">
        <f t="shared" si="25"/>
        <v>243.08</v>
      </c>
      <c r="AK70" s="5">
        <f t="shared" si="25"/>
        <v>0</v>
      </c>
      <c r="AL70" s="5">
        <f t="shared" si="25"/>
        <v>1845.324</v>
      </c>
      <c r="AM70" s="5">
        <f t="shared" si="25"/>
        <v>704.868</v>
      </c>
      <c r="AN70" s="5">
        <f t="shared" si="25"/>
        <v>0</v>
      </c>
      <c r="AO70" s="5">
        <f t="shared" si="25"/>
        <v>0</v>
      </c>
      <c r="AP70" s="5">
        <f t="shared" si="25"/>
        <v>118.43900000000001</v>
      </c>
      <c r="AQ70" s="5">
        <f t="shared" si="25"/>
        <v>612.495</v>
      </c>
      <c r="AR70" s="5">
        <f t="shared" si="25"/>
        <v>0</v>
      </c>
      <c r="AS70" s="5">
        <f t="shared" si="25"/>
        <v>904.785</v>
      </c>
      <c r="AT70" s="5">
        <f t="shared" si="25"/>
        <v>222.892</v>
      </c>
      <c r="AU70" s="5">
        <f t="shared" si="25"/>
        <v>319.451712</v>
      </c>
      <c r="AV70" s="5">
        <f t="shared" si="25"/>
        <v>116.64925800000002</v>
      </c>
      <c r="AW70" s="5">
        <f t="shared" si="25"/>
        <v>0</v>
      </c>
      <c r="AX70" s="5">
        <f t="shared" si="25"/>
        <v>0</v>
      </c>
      <c r="AY70" s="5">
        <f t="shared" si="25"/>
        <v>0</v>
      </c>
      <c r="AZ70" s="5">
        <f t="shared" si="25"/>
        <v>440.48931300000004</v>
      </c>
      <c r="BA70" s="5">
        <f t="shared" si="25"/>
        <v>0</v>
      </c>
      <c r="BB70" s="5">
        <f t="shared" si="25"/>
        <v>431.295</v>
      </c>
      <c r="BC70" s="5">
        <f t="shared" si="25"/>
        <v>0</v>
      </c>
      <c r="BD70" s="5">
        <f t="shared" si="25"/>
        <v>618.442</v>
      </c>
      <c r="BE70" s="5"/>
      <c r="BF70" s="7">
        <f t="shared" si="17"/>
        <v>370201.36761980003</v>
      </c>
      <c r="BG70" s="7"/>
      <c r="BH70" s="7">
        <f t="shared" si="18"/>
        <v>19096.487312999994</v>
      </c>
      <c r="BI70" s="7">
        <f t="shared" si="19"/>
        <v>351104.88030680007</v>
      </c>
      <c r="BJ70" s="47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</row>
    <row r="71" spans="1:77" ht="12.75">
      <c r="A71" s="10" t="s">
        <v>357</v>
      </c>
      <c r="B71" s="71"/>
      <c r="C71" s="5">
        <f aca="true" t="shared" si="26" ref="C71:AF71">+C65*(C25/100)</f>
        <v>0</v>
      </c>
      <c r="D71" s="5">
        <f t="shared" si="26"/>
        <v>0</v>
      </c>
      <c r="E71" s="5">
        <f t="shared" si="26"/>
        <v>0</v>
      </c>
      <c r="F71" s="5">
        <f t="shared" si="26"/>
        <v>0</v>
      </c>
      <c r="G71" s="5">
        <f t="shared" si="26"/>
        <v>0</v>
      </c>
      <c r="H71" s="5">
        <f t="shared" si="26"/>
        <v>6802.74</v>
      </c>
      <c r="I71" s="5">
        <f t="shared" si="26"/>
        <v>0</v>
      </c>
      <c r="J71" s="5">
        <f t="shared" si="26"/>
        <v>0</v>
      </c>
      <c r="K71" s="5">
        <f>+K65*(K25/100)</f>
        <v>4447.232999999999</v>
      </c>
      <c r="L71" s="5">
        <f t="shared" si="26"/>
        <v>0</v>
      </c>
      <c r="M71" s="5">
        <f t="shared" si="26"/>
        <v>0</v>
      </c>
      <c r="N71" s="5">
        <f t="shared" si="26"/>
        <v>0</v>
      </c>
      <c r="O71" s="5">
        <f t="shared" si="26"/>
        <v>0</v>
      </c>
      <c r="P71" s="5">
        <f t="shared" si="26"/>
        <v>0</v>
      </c>
      <c r="Q71" s="5">
        <f t="shared" si="26"/>
        <v>0</v>
      </c>
      <c r="R71" s="5">
        <f t="shared" si="26"/>
        <v>0</v>
      </c>
      <c r="S71" s="5">
        <f>+S65*(S25/100)</f>
        <v>0</v>
      </c>
      <c r="T71" s="5">
        <f t="shared" si="26"/>
        <v>0</v>
      </c>
      <c r="U71" s="5">
        <f t="shared" si="26"/>
        <v>0</v>
      </c>
      <c r="V71" s="7">
        <f t="shared" si="26"/>
        <v>0</v>
      </c>
      <c r="W71" s="5">
        <f>+W65*(W25/100)</f>
        <v>0</v>
      </c>
      <c r="X71" s="5">
        <f t="shared" si="26"/>
        <v>0</v>
      </c>
      <c r="Y71" s="5">
        <f t="shared" si="26"/>
        <v>0</v>
      </c>
      <c r="Z71" s="5">
        <f t="shared" si="26"/>
        <v>0</v>
      </c>
      <c r="AA71" s="5">
        <f>+AA65*(AA25/100)</f>
        <v>0</v>
      </c>
      <c r="AB71" s="5">
        <f>+AB65*(AB25/100)</f>
        <v>0</v>
      </c>
      <c r="AC71" s="5">
        <f>+AC65*(AC25/100)</f>
        <v>0</v>
      </c>
      <c r="AD71" s="5">
        <f t="shared" si="26"/>
        <v>0</v>
      </c>
      <c r="AE71" s="7">
        <f>+AE65*(AE25/100)</f>
        <v>0</v>
      </c>
      <c r="AF71" s="5">
        <f t="shared" si="26"/>
        <v>0</v>
      </c>
      <c r="AG71" s="5">
        <f aca="true" t="shared" si="27" ref="AG71:BD71">+AG65*(AG25/100)</f>
        <v>0</v>
      </c>
      <c r="AH71" s="5">
        <f t="shared" si="27"/>
        <v>0</v>
      </c>
      <c r="AI71" s="5">
        <f t="shared" si="27"/>
        <v>0</v>
      </c>
      <c r="AJ71" s="5">
        <f t="shared" si="27"/>
        <v>0</v>
      </c>
      <c r="AK71" s="5">
        <f t="shared" si="27"/>
        <v>0</v>
      </c>
      <c r="AL71" s="5">
        <f t="shared" si="27"/>
        <v>0</v>
      </c>
      <c r="AM71" s="5">
        <f t="shared" si="27"/>
        <v>0</v>
      </c>
      <c r="AN71" s="5">
        <f t="shared" si="27"/>
        <v>0</v>
      </c>
      <c r="AO71" s="5">
        <f t="shared" si="27"/>
        <v>0</v>
      </c>
      <c r="AP71" s="5">
        <f t="shared" si="27"/>
        <v>0</v>
      </c>
      <c r="AQ71" s="5">
        <f t="shared" si="27"/>
        <v>0</v>
      </c>
      <c r="AR71" s="5">
        <f t="shared" si="27"/>
        <v>0</v>
      </c>
      <c r="AS71" s="5">
        <f t="shared" si="27"/>
        <v>0</v>
      </c>
      <c r="AT71" s="5">
        <f t="shared" si="27"/>
        <v>0</v>
      </c>
      <c r="AU71" s="5">
        <f t="shared" si="27"/>
        <v>0</v>
      </c>
      <c r="AV71" s="5">
        <f t="shared" si="27"/>
        <v>0</v>
      </c>
      <c r="AW71" s="5">
        <f t="shared" si="27"/>
        <v>0</v>
      </c>
      <c r="AX71" s="5">
        <f t="shared" si="27"/>
        <v>0</v>
      </c>
      <c r="AY71" s="5">
        <f t="shared" si="27"/>
        <v>0</v>
      </c>
      <c r="AZ71" s="5">
        <f t="shared" si="27"/>
        <v>0</v>
      </c>
      <c r="BA71" s="5">
        <f t="shared" si="27"/>
        <v>0</v>
      </c>
      <c r="BB71" s="5">
        <f t="shared" si="27"/>
        <v>0</v>
      </c>
      <c r="BC71" s="5">
        <f t="shared" si="27"/>
        <v>0</v>
      </c>
      <c r="BD71" s="5">
        <f t="shared" si="27"/>
        <v>0</v>
      </c>
      <c r="BE71" s="5"/>
      <c r="BF71" s="7">
        <f t="shared" si="17"/>
        <v>11249.972999999998</v>
      </c>
      <c r="BG71" s="7"/>
      <c r="BH71" s="7">
        <f t="shared" si="18"/>
        <v>0</v>
      </c>
      <c r="BI71" s="7">
        <f t="shared" si="19"/>
        <v>11249.972999999998</v>
      </c>
      <c r="BJ71" s="47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</row>
    <row r="72" spans="1:77" ht="12.75">
      <c r="A72" s="74" t="s">
        <v>358</v>
      </c>
      <c r="B72" s="237"/>
      <c r="C72" s="8">
        <f aca="true" t="shared" si="28" ref="C72:AF72">SUM(C67:C71)</f>
        <v>10959113.478</v>
      </c>
      <c r="D72" s="8">
        <f t="shared" si="28"/>
        <v>208445</v>
      </c>
      <c r="E72" s="8">
        <f t="shared" si="28"/>
        <v>2625388</v>
      </c>
      <c r="F72" s="8">
        <f t="shared" si="28"/>
        <v>2284585.5</v>
      </c>
      <c r="G72" s="8">
        <f t="shared" si="28"/>
        <v>1403286</v>
      </c>
      <c r="H72" s="8">
        <f t="shared" si="28"/>
        <v>1700685</v>
      </c>
      <c r="I72" s="8">
        <f t="shared" si="28"/>
        <v>2500.9999999999995</v>
      </c>
      <c r="J72" s="8">
        <f t="shared" si="28"/>
        <v>1137655.0000000002</v>
      </c>
      <c r="K72" s="8">
        <f>SUM(K67:K71)</f>
        <v>20246.078999999998</v>
      </c>
      <c r="L72" s="8">
        <f t="shared" si="28"/>
        <v>357626</v>
      </c>
      <c r="M72" s="8">
        <f t="shared" si="28"/>
        <v>39385</v>
      </c>
      <c r="N72" s="8">
        <f t="shared" si="28"/>
        <v>304400</v>
      </c>
      <c r="O72" s="8">
        <f t="shared" si="28"/>
        <v>709744.9999999999</v>
      </c>
      <c r="P72" s="8">
        <f t="shared" si="28"/>
        <v>24907</v>
      </c>
      <c r="Q72" s="8">
        <f t="shared" si="28"/>
        <v>866920.0000000001</v>
      </c>
      <c r="R72" s="8">
        <f t="shared" si="28"/>
        <v>9206.999999999998</v>
      </c>
      <c r="S72" s="8">
        <f>SUM(S67:S71)</f>
        <v>383300</v>
      </c>
      <c r="T72" s="8">
        <f t="shared" si="28"/>
        <v>450223.77400000003</v>
      </c>
      <c r="U72" s="8">
        <f t="shared" si="28"/>
        <v>405756.00000000006</v>
      </c>
      <c r="V72" s="8">
        <f t="shared" si="28"/>
        <v>178129</v>
      </c>
      <c r="W72" s="8">
        <f>SUM(W67:W71)</f>
        <v>743688.9999999999</v>
      </c>
      <c r="X72" s="8">
        <f t="shared" si="28"/>
        <v>556905</v>
      </c>
      <c r="Y72" s="8">
        <f t="shared" si="28"/>
        <v>345319</v>
      </c>
      <c r="Z72" s="8">
        <f t="shared" si="28"/>
        <v>671665.8267</v>
      </c>
      <c r="AA72" s="8">
        <f>SUM(AA67:AA71)</f>
        <v>80975.54264799999</v>
      </c>
      <c r="AB72" s="8">
        <f>SUM(AB67:AB71)</f>
        <v>3053.89305</v>
      </c>
      <c r="AC72" s="8">
        <f>SUM(AC67:AC71)</f>
        <v>329359</v>
      </c>
      <c r="AD72" s="8">
        <f t="shared" si="28"/>
        <v>1355574.0000000002</v>
      </c>
      <c r="AE72" s="8">
        <f>SUM(AE67:AE71)</f>
        <v>948.8301074999999</v>
      </c>
      <c r="AF72" s="8">
        <f t="shared" si="28"/>
        <v>317399</v>
      </c>
      <c r="AG72" s="8">
        <f aca="true" t="shared" si="29" ref="AG72:BD72">SUM(AG67:AG71)</f>
        <v>289943.646</v>
      </c>
      <c r="AH72" s="8">
        <f t="shared" si="29"/>
        <v>207042</v>
      </c>
      <c r="AI72" s="8">
        <f t="shared" si="29"/>
        <v>111190.00000000001</v>
      </c>
      <c r="AJ72" s="8">
        <f t="shared" si="29"/>
        <v>121540.00000000001</v>
      </c>
      <c r="AK72" s="8">
        <f t="shared" si="29"/>
        <v>29368</v>
      </c>
      <c r="AL72" s="8">
        <f t="shared" si="29"/>
        <v>70974</v>
      </c>
      <c r="AM72" s="8">
        <f t="shared" si="29"/>
        <v>58739</v>
      </c>
      <c r="AN72" s="8">
        <f t="shared" si="29"/>
        <v>103385</v>
      </c>
      <c r="AO72" s="8">
        <f t="shared" si="29"/>
        <v>1228.8771000000002</v>
      </c>
      <c r="AP72" s="8">
        <f t="shared" si="29"/>
        <v>118439</v>
      </c>
      <c r="AQ72" s="8">
        <f t="shared" si="29"/>
        <v>122499.00000000001</v>
      </c>
      <c r="AR72" s="8">
        <f t="shared" si="29"/>
        <v>75638</v>
      </c>
      <c r="AS72" s="8">
        <f t="shared" si="29"/>
        <v>180776.04300000003</v>
      </c>
      <c r="AT72" s="8">
        <f t="shared" si="29"/>
        <v>111446.00000000003</v>
      </c>
      <c r="AU72" s="8">
        <f t="shared" si="29"/>
        <v>39931.46400000001</v>
      </c>
      <c r="AV72" s="8">
        <f t="shared" si="29"/>
        <v>38921.969086</v>
      </c>
      <c r="AW72" s="8">
        <f t="shared" si="29"/>
        <v>78417</v>
      </c>
      <c r="AX72" s="8">
        <f t="shared" si="29"/>
        <v>37903</v>
      </c>
      <c r="AY72" s="8">
        <f t="shared" si="29"/>
        <v>38926</v>
      </c>
      <c r="AZ72" s="8">
        <f t="shared" si="29"/>
        <v>40004.438517</v>
      </c>
      <c r="BA72" s="8">
        <f t="shared" si="29"/>
        <v>35020</v>
      </c>
      <c r="BB72" s="8">
        <f t="shared" si="29"/>
        <v>143765</v>
      </c>
      <c r="BC72" s="8">
        <f t="shared" si="29"/>
        <v>0</v>
      </c>
      <c r="BD72" s="8">
        <f t="shared" si="29"/>
        <v>56221.99999999999</v>
      </c>
      <c r="BE72" s="8"/>
      <c r="BF72" s="7">
        <f t="shared" si="17"/>
        <v>30587712.3612085</v>
      </c>
      <c r="BG72" s="7"/>
      <c r="BH72" s="7">
        <f t="shared" si="18"/>
        <v>14085522.959517</v>
      </c>
      <c r="BI72" s="7">
        <f t="shared" si="19"/>
        <v>16502189.401691502</v>
      </c>
      <c r="BJ72" s="47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</row>
    <row r="73" spans="1:77" ht="12.75">
      <c r="A73" s="10"/>
      <c r="B73" s="7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5"/>
      <c r="BG73" s="8"/>
      <c r="BH73" s="8"/>
      <c r="BI73" s="8"/>
      <c r="BJ73" s="47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</row>
    <row r="74" spans="1:62" s="50" customFormat="1" ht="12.75">
      <c r="A74" s="10"/>
      <c r="B74" s="7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47"/>
    </row>
    <row r="75" spans="1:62" ht="12.75">
      <c r="A75" s="14" t="s">
        <v>367</v>
      </c>
      <c r="B75" s="71"/>
      <c r="BJ75" s="47"/>
    </row>
    <row r="76" spans="1:62" ht="12.75">
      <c r="A76" s="7" t="str">
        <f>+'3.2 Efnah.'!A23</f>
        <v>      Aðrar fjárfestingar    </v>
      </c>
      <c r="B76" s="71"/>
      <c r="C76" s="5">
        <f>+'4.1. Samtryggingard.'!B86</f>
        <v>126451529</v>
      </c>
      <c r="D76" s="5">
        <f>+'4.1. Samtryggingard.'!C86</f>
        <v>48397789</v>
      </c>
      <c r="E76" s="5">
        <f>+'4.1. Samtryggingard.'!D86</f>
        <v>141476514</v>
      </c>
      <c r="F76" s="5">
        <f>+'4.1. Samtryggingard.'!E86</f>
        <v>73957759.85</v>
      </c>
      <c r="G76" s="5">
        <f>+'4.1. Samtryggingard.'!F86</f>
        <v>67008410</v>
      </c>
      <c r="H76" s="5">
        <f>+'4.1. Samtryggingard.'!G86</f>
        <v>57385381</v>
      </c>
      <c r="I76" s="5">
        <f>+'4.1. Samtryggingard.'!H86</f>
        <v>0</v>
      </c>
      <c r="J76" s="5">
        <f>+'4.1. Samtryggingard.'!I86</f>
        <v>36810373.64000001</v>
      </c>
      <c r="K76" s="5">
        <f>+'4.1. Samtryggingard.'!J86</f>
        <v>5018988.8</v>
      </c>
      <c r="L76" s="5">
        <f>+'4.1. Samtryggingard.'!K86</f>
        <v>32769365</v>
      </c>
      <c r="M76" s="5">
        <f>+'4.1. Samtryggingard.'!L86</f>
        <v>6465552</v>
      </c>
      <c r="N76" s="5">
        <f>+'4.1. Samtryggingard.'!M86</f>
        <v>26160354</v>
      </c>
      <c r="O76" s="5">
        <f>+'4.1. Samtryggingard.'!N86</f>
        <v>19304077</v>
      </c>
      <c r="P76" s="5">
        <f>+'4.1. Samtryggingard.'!O86</f>
        <v>5592348</v>
      </c>
      <c r="Q76" s="5">
        <f>+'4.1. Samtryggingard.'!P86</f>
        <v>20178750</v>
      </c>
      <c r="R76" s="5">
        <f>+'4.1. Samtryggingard.'!Q86</f>
        <v>2103330</v>
      </c>
      <c r="S76" s="5">
        <f>+'4.1. Samtryggingard.'!R86</f>
        <v>18613406</v>
      </c>
      <c r="T76" s="5">
        <f>+'4.1. Samtryggingard.'!S86</f>
        <v>17555111</v>
      </c>
      <c r="U76" s="5">
        <f>+'4.1. Samtryggingard.'!T86</f>
        <v>17002981</v>
      </c>
      <c r="V76" s="5">
        <f>+'4.1. Samtryggingard.'!U86</f>
        <v>16771321</v>
      </c>
      <c r="W76" s="5">
        <f>+'4.1. Samtryggingard.'!V86</f>
        <v>15220852</v>
      </c>
      <c r="X76" s="5">
        <f>+'4.1. Samtryggingard.'!W86</f>
        <v>15132709</v>
      </c>
      <c r="Y76" s="5">
        <f>+'4.1. Samtryggingard.'!X86</f>
        <v>14684236</v>
      </c>
      <c r="Z76" s="5">
        <f>+'4.1. Samtryggingard.'!Y86</f>
        <v>13693673.4</v>
      </c>
      <c r="AA76" s="5">
        <f>+'4.1. Samtryggingard.'!Z86</f>
        <v>10839018.354999999</v>
      </c>
      <c r="AB76" s="5">
        <f>+'4.1. Samtryggingard.'!AA86</f>
        <v>821829.504</v>
      </c>
      <c r="AC76" s="5">
        <f>+'4.1. Samtryggingard.'!AB86</f>
        <v>11033858</v>
      </c>
      <c r="AD76" s="5">
        <f>+'4.1. Samtryggingard.'!AC86</f>
        <v>7467275</v>
      </c>
      <c r="AE76" s="5">
        <f>+'4.1. Samtryggingard.'!AD86</f>
        <v>1067753.3930000002</v>
      </c>
      <c r="AF76" s="5">
        <f>+'4.1. Samtryggingard.'!AE86</f>
        <v>10098965</v>
      </c>
      <c r="AG76" s="5">
        <f>+'4.1. Samtryggingard.'!AF86</f>
        <v>8663061.248000002</v>
      </c>
      <c r="AH76" s="5">
        <f>+'4.1. Samtryggingard.'!AG86</f>
        <v>7076697</v>
      </c>
      <c r="AI76" s="5">
        <f>+'4.1. Samtryggingard.'!AH86</f>
        <v>3991697.716</v>
      </c>
      <c r="AJ76" s="5">
        <f>+'4.1. Samtryggingard.'!AI86</f>
        <v>2915582</v>
      </c>
      <c r="AK76" s="5">
        <f>+'4.1. Samtryggingard.'!AJ86</f>
        <v>183736</v>
      </c>
      <c r="AL76" s="5">
        <f>+'4.1. Samtryggingard.'!AK86</f>
        <v>2451066</v>
      </c>
      <c r="AM76" s="5">
        <f>+'4.1. Samtryggingard.'!AL86</f>
        <v>2439030</v>
      </c>
      <c r="AN76" s="5">
        <f>+'4.1. Samtryggingard.'!AM86</f>
        <v>2418160</v>
      </c>
      <c r="AO76" s="5">
        <f>+'4.1. Samtryggingard.'!AN86</f>
        <v>163648</v>
      </c>
      <c r="AP76" s="5">
        <f>+'4.1. Samtryggingard.'!AO86</f>
        <v>1711784</v>
      </c>
      <c r="AQ76" s="5">
        <f>+'4.1. Samtryggingard.'!AP86</f>
        <v>1618589</v>
      </c>
      <c r="AR76" s="5">
        <f>+'4.1. Samtryggingard.'!AQ86</f>
        <v>1476718</v>
      </c>
      <c r="AS76" s="5">
        <f>+'4.1. Samtryggingard.'!AR86</f>
        <v>1300567</v>
      </c>
      <c r="AT76" s="5">
        <f>+'4.1. Samtryggingard.'!AS86</f>
        <v>944832</v>
      </c>
      <c r="AU76" s="5">
        <f>+'4.1. Samtryggingard.'!AT86</f>
        <v>703193</v>
      </c>
      <c r="AV76" s="5">
        <f>+'4.1. Samtryggingard.'!AU86</f>
        <v>612986.523</v>
      </c>
      <c r="AW76" s="5">
        <f>+'4.1. Samtryggingard.'!AV86</f>
        <v>543214</v>
      </c>
      <c r="AX76" s="5">
        <f>+'4.1. Samtryggingard.'!AW86</f>
        <v>511933</v>
      </c>
      <c r="AY76" s="5">
        <f>+'4.1. Samtryggingard.'!AX86</f>
        <v>411097</v>
      </c>
      <c r="AZ76" s="5">
        <f>+'4.1. Samtryggingard.'!AY86</f>
        <v>394940.687</v>
      </c>
      <c r="BA76" s="5">
        <f>+'4.1. Samtryggingard.'!AZ86</f>
        <v>186148</v>
      </c>
      <c r="BB76" s="5">
        <f>+'4.1. Samtryggingard.'!BA86</f>
        <v>43404</v>
      </c>
      <c r="BC76" s="5">
        <f>+'4.1. Samtryggingard.'!BB86</f>
        <v>8639</v>
      </c>
      <c r="BD76" s="5">
        <f>+'4.1. Samtryggingard.'!BC86</f>
        <v>14204</v>
      </c>
      <c r="BE76" s="5"/>
      <c r="BF76" s="5">
        <f>+'4.1. Samtryggingard.'!BE86</f>
        <v>879868437.1159999</v>
      </c>
      <c r="BG76" s="5"/>
      <c r="BH76" s="5">
        <f>+'4.1. Samtryggingard.'!BG86</f>
        <v>160072772.403</v>
      </c>
      <c r="BI76" s="7">
        <f>+D76+E76+F76+G76+H76+I76+J76+K76+L76+M76+N76+O76+P76+Q76+R76+S76+T76+U76+V76+X76+Y76+Z76+AA76+AB76+AC76+AE76+AF76+AG76+AH76+AJ76+AL76+AM76+AN76+AO76+AR76+AU76+AV76+AX76+AY76+BC76</f>
        <v>719795664.7129999</v>
      </c>
      <c r="BJ76" s="47"/>
    </row>
    <row r="77" spans="1:163" ht="12.75">
      <c r="A77" s="7"/>
      <c r="B77" s="7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47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</row>
    <row r="78" spans="1:163" ht="12.75">
      <c r="A78" s="7" t="str">
        <f aca="true" t="shared" si="30" ref="A78:A84">+A9</f>
        <v>Skráð verðbréf með br. tekjum (%)</v>
      </c>
      <c r="B78" s="71"/>
      <c r="C78" s="5">
        <f>+C76*C9/100</f>
        <v>46660614.201</v>
      </c>
      <c r="D78" s="5">
        <f aca="true" t="shared" si="31" ref="D78:BD78">+D76*D9/100</f>
        <v>22601767.463000003</v>
      </c>
      <c r="E78" s="5">
        <f t="shared" si="31"/>
        <v>57863894.225999996</v>
      </c>
      <c r="F78" s="5">
        <f t="shared" si="31"/>
        <v>27956033.223299995</v>
      </c>
      <c r="G78" s="5">
        <f t="shared" si="31"/>
        <v>22916876.22</v>
      </c>
      <c r="H78" s="5">
        <f t="shared" si="31"/>
        <v>22552454.732999995</v>
      </c>
      <c r="I78" s="5">
        <f t="shared" si="31"/>
        <v>0</v>
      </c>
      <c r="J78" s="5">
        <f t="shared" si="31"/>
        <v>14356045.719600003</v>
      </c>
      <c r="K78" s="5">
        <f t="shared" si="31"/>
        <v>2158165.184</v>
      </c>
      <c r="L78" s="5">
        <f t="shared" si="31"/>
        <v>11108814.735</v>
      </c>
      <c r="M78" s="5">
        <f t="shared" si="31"/>
        <v>5489253.648000001</v>
      </c>
      <c r="N78" s="5">
        <f t="shared" si="31"/>
        <v>7586502.66</v>
      </c>
      <c r="O78" s="5">
        <f t="shared" si="31"/>
        <v>10038120.04</v>
      </c>
      <c r="P78" s="5">
        <f t="shared" si="31"/>
        <v>2443856.0760000004</v>
      </c>
      <c r="Q78" s="5">
        <f t="shared" si="31"/>
        <v>6336127.5</v>
      </c>
      <c r="R78" s="5">
        <f t="shared" si="31"/>
        <v>660445.62</v>
      </c>
      <c r="S78" s="5">
        <f t="shared" si="31"/>
        <v>13215518.26</v>
      </c>
      <c r="T78" s="5">
        <f t="shared" si="31"/>
        <v>10796393.265</v>
      </c>
      <c r="U78" s="5">
        <f t="shared" si="31"/>
        <v>8093418.956</v>
      </c>
      <c r="V78" s="5">
        <f t="shared" si="31"/>
        <v>6109792.2403</v>
      </c>
      <c r="W78" s="5">
        <f t="shared" si="31"/>
        <v>6149224.208</v>
      </c>
      <c r="X78" s="5">
        <f t="shared" si="31"/>
        <v>5149660.8727</v>
      </c>
      <c r="Y78" s="5">
        <f t="shared" si="31"/>
        <v>6255484.536</v>
      </c>
      <c r="Z78" s="5">
        <f t="shared" si="31"/>
        <v>9834796.235879999</v>
      </c>
      <c r="AA78" s="5">
        <f t="shared" si="31"/>
        <v>4671616.911005</v>
      </c>
      <c r="AB78" s="5">
        <f t="shared" si="31"/>
        <v>354208.516224</v>
      </c>
      <c r="AC78" s="5">
        <f t="shared" si="31"/>
        <v>2769498.358</v>
      </c>
      <c r="AD78" s="5">
        <f t="shared" si="31"/>
        <v>1082754.875</v>
      </c>
      <c r="AE78" s="5">
        <f t="shared" si="31"/>
        <v>1035400.4651921001</v>
      </c>
      <c r="AF78" s="5">
        <f t="shared" si="31"/>
        <v>6335080.744499999</v>
      </c>
      <c r="AG78" s="5">
        <f t="shared" si="31"/>
        <v>1768997.1068416005</v>
      </c>
      <c r="AH78" s="5">
        <f t="shared" si="31"/>
        <v>4430012.322</v>
      </c>
      <c r="AI78" s="5">
        <f t="shared" si="31"/>
        <v>3408909.8494640007</v>
      </c>
      <c r="AJ78" s="5">
        <f t="shared" si="31"/>
        <v>1139992.562</v>
      </c>
      <c r="AK78" s="5">
        <f t="shared" si="31"/>
        <v>3858.456</v>
      </c>
      <c r="AL78" s="5">
        <f t="shared" si="31"/>
        <v>1125039.294</v>
      </c>
      <c r="AM78" s="5">
        <f t="shared" si="31"/>
        <v>1121953.8</v>
      </c>
      <c r="AN78" s="5">
        <f t="shared" si="31"/>
        <v>1589940.2</v>
      </c>
      <c r="AO78" s="5">
        <f t="shared" si="31"/>
        <v>153600.0128</v>
      </c>
      <c r="AP78" s="5">
        <f t="shared" si="31"/>
        <v>1054458.9440000001</v>
      </c>
      <c r="AQ78" s="5">
        <f t="shared" si="31"/>
        <v>381987.0040000001</v>
      </c>
      <c r="AR78" s="5">
        <f t="shared" si="31"/>
        <v>1321662.61</v>
      </c>
      <c r="AS78" s="5">
        <f t="shared" si="31"/>
        <v>624272.16</v>
      </c>
      <c r="AT78" s="5">
        <f t="shared" si="31"/>
        <v>747267.6288000001</v>
      </c>
      <c r="AU78" s="5">
        <f t="shared" si="31"/>
        <v>511924.50399999996</v>
      </c>
      <c r="AV78" s="5">
        <f t="shared" si="31"/>
        <v>3064.932615</v>
      </c>
      <c r="AW78" s="5">
        <f t="shared" si="31"/>
        <v>289533.062</v>
      </c>
      <c r="AX78" s="5">
        <f t="shared" si="31"/>
        <v>473026.092</v>
      </c>
      <c r="AY78" s="5">
        <f t="shared" si="31"/>
        <v>0</v>
      </c>
      <c r="AZ78" s="5">
        <f t="shared" si="31"/>
        <v>202604.57243099998</v>
      </c>
      <c r="BA78" s="5">
        <f t="shared" si="31"/>
        <v>89909.484</v>
      </c>
      <c r="BB78" s="5">
        <f t="shared" si="31"/>
        <v>0</v>
      </c>
      <c r="BC78" s="5">
        <f t="shared" si="31"/>
        <v>0</v>
      </c>
      <c r="BD78" s="5">
        <f t="shared" si="31"/>
        <v>0</v>
      </c>
      <c r="BE78" s="5"/>
      <c r="BF78" s="7">
        <f aca="true" t="shared" si="32" ref="BF78:BF84">SUM(C78:BD78)</f>
        <v>363023834.28965276</v>
      </c>
      <c r="BG78" s="7"/>
      <c r="BH78" s="7">
        <f aca="true" t="shared" si="33" ref="BH78:BH84">+C78+W78+AD78+AI78+AK78+AP78+AQ78+AS78+AT78+AW78+AZ78+BA78+BB78+BD78</f>
        <v>60695394.44469498</v>
      </c>
      <c r="BI78" s="7">
        <f aca="true" t="shared" si="34" ref="BI78:BI84">+D78+E78+F78+G78+H78+I78+J78+K78+L78+M78+N78+O78+P78+Q78+R78+S78+T78+U78+V78+X78+Y78+Z78+AA78+AB78+AC78+AE78+AF78+AG78+AH78+AJ78+AL78+AM78+AN78+AO78+AR78+AU78+AV78+AX78+AY78+BC78</f>
        <v>302328439.84495777</v>
      </c>
      <c r="BJ78" s="47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</row>
    <row r="79" spans="1:163" ht="12.75">
      <c r="A79" s="7" t="str">
        <f t="shared" si="30"/>
        <v>Skráð verðbréf með föst. tekjum (%)</v>
      </c>
      <c r="B79" s="71"/>
      <c r="C79" s="5">
        <f>+C10*C76/100</f>
        <v>56776736.521</v>
      </c>
      <c r="D79" s="5">
        <f aca="true" t="shared" si="35" ref="D79:BD79">+D10*D76/100</f>
        <v>16068065.948000003</v>
      </c>
      <c r="E79" s="5">
        <f t="shared" si="35"/>
        <v>51073021.554000005</v>
      </c>
      <c r="F79" s="5">
        <f t="shared" si="35"/>
        <v>33502865.212049995</v>
      </c>
      <c r="G79" s="5">
        <f t="shared" si="35"/>
        <v>34308305.92</v>
      </c>
      <c r="H79" s="5">
        <f t="shared" si="35"/>
        <v>114770.76200000002</v>
      </c>
      <c r="I79" s="5">
        <f t="shared" si="35"/>
        <v>0</v>
      </c>
      <c r="J79" s="5">
        <f t="shared" si="35"/>
        <v>18405186.820000004</v>
      </c>
      <c r="K79" s="5">
        <f t="shared" si="35"/>
        <v>2389038.6688</v>
      </c>
      <c r="L79" s="5">
        <f t="shared" si="35"/>
        <v>19989312.65</v>
      </c>
      <c r="M79" s="5">
        <f t="shared" si="35"/>
        <v>510778.60800000007</v>
      </c>
      <c r="N79" s="5">
        <f t="shared" si="35"/>
        <v>10385660.538</v>
      </c>
      <c r="O79" s="5">
        <f t="shared" si="35"/>
        <v>6080784.255</v>
      </c>
      <c r="P79" s="5">
        <f t="shared" si="35"/>
        <v>2007652.9319999998</v>
      </c>
      <c r="Q79" s="5">
        <f t="shared" si="35"/>
        <v>10170090</v>
      </c>
      <c r="R79" s="5">
        <f t="shared" si="35"/>
        <v>1060078.32</v>
      </c>
      <c r="S79" s="5">
        <f t="shared" si="35"/>
        <v>2829237.712</v>
      </c>
      <c r="T79" s="5">
        <f t="shared" si="35"/>
        <v>3616352.8660000004</v>
      </c>
      <c r="U79" s="5">
        <f t="shared" si="35"/>
        <v>7481311.64</v>
      </c>
      <c r="V79" s="5">
        <f t="shared" si="35"/>
        <v>6327819.413299999</v>
      </c>
      <c r="W79" s="5">
        <f t="shared" si="35"/>
        <v>6727616.584000001</v>
      </c>
      <c r="X79" s="5">
        <f t="shared" si="35"/>
        <v>7398381.4300999995</v>
      </c>
      <c r="Y79" s="5">
        <f t="shared" si="35"/>
        <v>7092485.988</v>
      </c>
      <c r="Z79" s="5">
        <f t="shared" si="35"/>
        <v>1729510.9504200004</v>
      </c>
      <c r="AA79" s="5">
        <f t="shared" si="35"/>
        <v>3316739.61663</v>
      </c>
      <c r="AB79" s="5">
        <f t="shared" si="35"/>
        <v>251479.828224</v>
      </c>
      <c r="AC79" s="5">
        <f t="shared" si="35"/>
        <v>7271312.422</v>
      </c>
      <c r="AD79" s="5">
        <f t="shared" si="35"/>
        <v>4316084.95</v>
      </c>
      <c r="AE79" s="5">
        <f t="shared" si="35"/>
        <v>15055.3228413</v>
      </c>
      <c r="AF79" s="5">
        <f t="shared" si="35"/>
        <v>2325791.6395</v>
      </c>
      <c r="AG79" s="5">
        <f t="shared" si="35"/>
        <v>4984725.4420992015</v>
      </c>
      <c r="AH79" s="5">
        <f t="shared" si="35"/>
        <v>1493183.0670000003</v>
      </c>
      <c r="AI79" s="5">
        <f t="shared" si="35"/>
        <v>387194.67845199996</v>
      </c>
      <c r="AJ79" s="5">
        <f t="shared" si="35"/>
        <v>1571498.6979999999</v>
      </c>
      <c r="AK79" s="5">
        <f t="shared" si="35"/>
        <v>106934.35200000001</v>
      </c>
      <c r="AL79" s="5">
        <f t="shared" si="35"/>
        <v>323540.712</v>
      </c>
      <c r="AM79" s="5">
        <f t="shared" si="35"/>
        <v>712196.76</v>
      </c>
      <c r="AN79" s="5">
        <f t="shared" si="35"/>
        <v>727624.344</v>
      </c>
      <c r="AO79" s="5">
        <f t="shared" si="35"/>
        <v>0</v>
      </c>
      <c r="AP79" s="5">
        <f t="shared" si="35"/>
        <v>30812.112</v>
      </c>
      <c r="AQ79" s="5">
        <f t="shared" si="35"/>
        <v>901554.0730000001</v>
      </c>
      <c r="AR79" s="5">
        <f t="shared" si="35"/>
        <v>94509.952</v>
      </c>
      <c r="AS79" s="5">
        <f t="shared" si="35"/>
        <v>559243.81</v>
      </c>
      <c r="AT79" s="5">
        <f t="shared" si="35"/>
        <v>33636.0192</v>
      </c>
      <c r="AU79" s="5">
        <f t="shared" si="35"/>
        <v>125871.54699999999</v>
      </c>
      <c r="AV79" s="5">
        <f t="shared" si="35"/>
        <v>82753.180605</v>
      </c>
      <c r="AW79" s="5">
        <f t="shared" si="35"/>
        <v>105383.516</v>
      </c>
      <c r="AX79" s="5">
        <f t="shared" si="35"/>
        <v>37883.042</v>
      </c>
      <c r="AY79" s="5">
        <f t="shared" si="35"/>
        <v>386842.27699999994</v>
      </c>
      <c r="AZ79" s="5">
        <f t="shared" si="35"/>
        <v>110583.39236</v>
      </c>
      <c r="BA79" s="5">
        <f t="shared" si="35"/>
        <v>57147.435999999994</v>
      </c>
      <c r="BB79" s="5">
        <f t="shared" si="35"/>
        <v>0</v>
      </c>
      <c r="BC79" s="5">
        <f t="shared" si="35"/>
        <v>0</v>
      </c>
      <c r="BD79" s="5">
        <f t="shared" si="35"/>
        <v>0</v>
      </c>
      <c r="BE79" s="5"/>
      <c r="BF79" s="7">
        <f t="shared" si="32"/>
        <v>336374647.48258144</v>
      </c>
      <c r="BG79" s="7"/>
      <c r="BH79" s="7">
        <f t="shared" si="33"/>
        <v>70112927.444012</v>
      </c>
      <c r="BI79" s="7">
        <f t="shared" si="34"/>
        <v>266261720.03856948</v>
      </c>
      <c r="BJ79" s="47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</row>
    <row r="80" spans="1:163" ht="12.75">
      <c r="A80" s="7" t="str">
        <f t="shared" si="30"/>
        <v>Óskráð verðbréf með br. tekjum (%)</v>
      </c>
      <c r="B80" s="71"/>
      <c r="C80" s="5">
        <f>+C76*C11/100</f>
        <v>379354.58699999994</v>
      </c>
      <c r="D80" s="5">
        <f aca="true" t="shared" si="36" ref="D80:BD80">+D76*D11/100</f>
        <v>145193.367</v>
      </c>
      <c r="E80" s="5">
        <f t="shared" si="36"/>
        <v>0</v>
      </c>
      <c r="F80" s="5">
        <f t="shared" si="36"/>
        <v>1627070.7166999998</v>
      </c>
      <c r="G80" s="5">
        <f t="shared" si="36"/>
        <v>335042.05</v>
      </c>
      <c r="H80" s="5">
        <f t="shared" si="36"/>
        <v>24044474.639000002</v>
      </c>
      <c r="I80" s="5">
        <f t="shared" si="36"/>
        <v>0</v>
      </c>
      <c r="J80" s="5">
        <f t="shared" si="36"/>
        <v>368103.73640000005</v>
      </c>
      <c r="K80" s="5">
        <f t="shared" si="36"/>
        <v>321215.2832</v>
      </c>
      <c r="L80" s="5">
        <f t="shared" si="36"/>
        <v>3276.9365000000003</v>
      </c>
      <c r="M80" s="5">
        <f t="shared" si="36"/>
        <v>0</v>
      </c>
      <c r="N80" s="5">
        <f t="shared" si="36"/>
        <v>52320.708000000006</v>
      </c>
      <c r="O80" s="5">
        <f t="shared" si="36"/>
        <v>0</v>
      </c>
      <c r="P80" s="5">
        <f t="shared" si="36"/>
        <v>11184.696000000002</v>
      </c>
      <c r="Q80" s="5">
        <f t="shared" si="36"/>
        <v>706256.25</v>
      </c>
      <c r="R80" s="5">
        <f t="shared" si="36"/>
        <v>73616.55</v>
      </c>
      <c r="S80" s="5">
        <f t="shared" si="36"/>
        <v>74453.62400000001</v>
      </c>
      <c r="T80" s="5">
        <f t="shared" si="36"/>
        <v>122885.77699999999</v>
      </c>
      <c r="U80" s="5">
        <f t="shared" si="36"/>
        <v>85014.905</v>
      </c>
      <c r="V80" s="5">
        <f t="shared" si="36"/>
        <v>8385.6605</v>
      </c>
      <c r="W80" s="5">
        <f t="shared" si="36"/>
        <v>45662.556</v>
      </c>
      <c r="X80" s="5">
        <f t="shared" si="36"/>
        <v>631033.9653</v>
      </c>
      <c r="Y80" s="5">
        <f t="shared" si="36"/>
        <v>29368.472</v>
      </c>
      <c r="Z80" s="5">
        <f t="shared" si="36"/>
        <v>12324.306059999999</v>
      </c>
      <c r="AA80" s="5">
        <f t="shared" si="36"/>
        <v>75873.12848499998</v>
      </c>
      <c r="AB80" s="5">
        <f t="shared" si="36"/>
        <v>5752.806527999999</v>
      </c>
      <c r="AC80" s="5">
        <f t="shared" si="36"/>
        <v>33101.574</v>
      </c>
      <c r="AD80" s="5">
        <f t="shared" si="36"/>
        <v>29869.1</v>
      </c>
      <c r="AE80" s="5">
        <f t="shared" si="36"/>
        <v>8648.802483300002</v>
      </c>
      <c r="AF80" s="5">
        <f t="shared" si="36"/>
        <v>81801.6165</v>
      </c>
      <c r="AG80" s="5">
        <f t="shared" si="36"/>
        <v>9529.367372800001</v>
      </c>
      <c r="AH80" s="5">
        <f t="shared" si="36"/>
        <v>77843.667</v>
      </c>
      <c r="AI80" s="5">
        <f t="shared" si="36"/>
        <v>0</v>
      </c>
      <c r="AJ80" s="5">
        <f t="shared" si="36"/>
        <v>0</v>
      </c>
      <c r="AK80" s="5">
        <f t="shared" si="36"/>
        <v>0</v>
      </c>
      <c r="AL80" s="5">
        <f t="shared" si="36"/>
        <v>102944.77200000001</v>
      </c>
      <c r="AM80" s="5">
        <f t="shared" si="36"/>
        <v>78048.96</v>
      </c>
      <c r="AN80" s="5">
        <f t="shared" si="36"/>
        <v>55375.864</v>
      </c>
      <c r="AO80" s="5">
        <f t="shared" si="36"/>
        <v>10047.9872</v>
      </c>
      <c r="AP80" s="5">
        <f t="shared" si="36"/>
        <v>78742.064</v>
      </c>
      <c r="AQ80" s="5">
        <f t="shared" si="36"/>
        <v>22660.245999999996</v>
      </c>
      <c r="AR80" s="5">
        <f t="shared" si="36"/>
        <v>37508.637200000005</v>
      </c>
      <c r="AS80" s="5">
        <f t="shared" si="36"/>
        <v>0</v>
      </c>
      <c r="AT80" s="5">
        <f t="shared" si="36"/>
        <v>0</v>
      </c>
      <c r="AU80" s="5">
        <f t="shared" si="36"/>
        <v>11954.280999999999</v>
      </c>
      <c r="AV80" s="5">
        <f t="shared" si="36"/>
        <v>4290.905661</v>
      </c>
      <c r="AW80" s="5">
        <f t="shared" si="36"/>
        <v>32049.626</v>
      </c>
      <c r="AX80" s="5">
        <f t="shared" si="36"/>
        <v>0</v>
      </c>
      <c r="AY80" s="5">
        <f t="shared" si="36"/>
        <v>0</v>
      </c>
      <c r="AZ80" s="5">
        <f t="shared" si="36"/>
        <v>0</v>
      </c>
      <c r="BA80" s="5">
        <f t="shared" si="36"/>
        <v>1489.184</v>
      </c>
      <c r="BB80" s="5">
        <f t="shared" si="36"/>
        <v>0</v>
      </c>
      <c r="BC80" s="5">
        <f t="shared" si="36"/>
        <v>0</v>
      </c>
      <c r="BD80" s="5">
        <f t="shared" si="36"/>
        <v>8579.216</v>
      </c>
      <c r="BE80" s="5"/>
      <c r="BF80" s="7">
        <f t="shared" si="32"/>
        <v>29842350.591090113</v>
      </c>
      <c r="BG80" s="7"/>
      <c r="BH80" s="7">
        <f t="shared" si="33"/>
        <v>598406.579</v>
      </c>
      <c r="BI80" s="7">
        <f t="shared" si="34"/>
        <v>29243944.012090113</v>
      </c>
      <c r="BJ80" s="47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</row>
    <row r="81" spans="1:163" ht="12.75">
      <c r="A81" s="7" t="str">
        <f t="shared" si="30"/>
        <v>Óskráð verðbréf með föst. tekjum (%)</v>
      </c>
      <c r="B81" s="71"/>
      <c r="C81" s="5">
        <f>+C76*C12/100</f>
        <v>4805158.102</v>
      </c>
      <c r="D81" s="5">
        <f aca="true" t="shared" si="37" ref="D81:BD81">+D76*D12/100</f>
        <v>1839115.9819999998</v>
      </c>
      <c r="E81" s="5">
        <f t="shared" si="37"/>
        <v>9478926.438000001</v>
      </c>
      <c r="F81" s="5">
        <f t="shared" si="37"/>
        <v>4067676.7917499994</v>
      </c>
      <c r="G81" s="5">
        <f t="shared" si="37"/>
        <v>6097765.31</v>
      </c>
      <c r="H81" s="5">
        <f t="shared" si="37"/>
        <v>573853.81</v>
      </c>
      <c r="I81" s="5">
        <f t="shared" si="37"/>
        <v>0</v>
      </c>
      <c r="J81" s="5">
        <f t="shared" si="37"/>
        <v>368103.73640000005</v>
      </c>
      <c r="K81" s="5">
        <f t="shared" si="37"/>
        <v>155588.65279999998</v>
      </c>
      <c r="L81" s="5">
        <f t="shared" si="37"/>
        <v>589848.57</v>
      </c>
      <c r="M81" s="5">
        <f t="shared" si="37"/>
        <v>109914.384</v>
      </c>
      <c r="N81" s="5">
        <f t="shared" si="37"/>
        <v>1726583.3639999998</v>
      </c>
      <c r="O81" s="5">
        <f t="shared" si="37"/>
        <v>1911103.6230000001</v>
      </c>
      <c r="P81" s="5">
        <f t="shared" si="37"/>
        <v>290802.096</v>
      </c>
      <c r="Q81" s="5">
        <f t="shared" si="37"/>
        <v>524647.5</v>
      </c>
      <c r="R81" s="5">
        <f t="shared" si="37"/>
        <v>54686.58</v>
      </c>
      <c r="S81" s="5">
        <f t="shared" si="37"/>
        <v>465335.15</v>
      </c>
      <c r="T81" s="5">
        <f t="shared" si="37"/>
        <v>1141082.215</v>
      </c>
      <c r="U81" s="5">
        <f t="shared" si="37"/>
        <v>765134.145</v>
      </c>
      <c r="V81" s="5">
        <f t="shared" si="37"/>
        <v>202932.9841</v>
      </c>
      <c r="W81" s="5">
        <f t="shared" si="37"/>
        <v>715380.0440000001</v>
      </c>
      <c r="X81" s="5">
        <f t="shared" si="37"/>
        <v>313247.0763</v>
      </c>
      <c r="Y81" s="5">
        <f t="shared" si="37"/>
        <v>440527.08</v>
      </c>
      <c r="Z81" s="5">
        <f t="shared" si="37"/>
        <v>801079.8939</v>
      </c>
      <c r="AA81" s="5">
        <f t="shared" si="37"/>
        <v>455238.77090999996</v>
      </c>
      <c r="AB81" s="5">
        <f t="shared" si="37"/>
        <v>34516.839168</v>
      </c>
      <c r="AC81" s="5">
        <f t="shared" si="37"/>
        <v>650997.622</v>
      </c>
      <c r="AD81" s="5">
        <f t="shared" si="37"/>
        <v>14934.55</v>
      </c>
      <c r="AE81" s="5">
        <f t="shared" si="37"/>
        <v>8542.027144000001</v>
      </c>
      <c r="AF81" s="5">
        <f t="shared" si="37"/>
        <v>186830.8525</v>
      </c>
      <c r="AG81" s="5">
        <f t="shared" si="37"/>
        <v>1531629.2286464004</v>
      </c>
      <c r="AH81" s="5">
        <f t="shared" si="37"/>
        <v>275991.183</v>
      </c>
      <c r="AI81" s="5">
        <f t="shared" si="37"/>
        <v>195593.18808400002</v>
      </c>
      <c r="AJ81" s="5">
        <f t="shared" si="37"/>
        <v>125370.026</v>
      </c>
      <c r="AK81" s="5">
        <f t="shared" si="37"/>
        <v>68533.52799999999</v>
      </c>
      <c r="AL81" s="5">
        <f t="shared" si="37"/>
        <v>897090.1560000001</v>
      </c>
      <c r="AM81" s="5">
        <f t="shared" si="37"/>
        <v>136585.68</v>
      </c>
      <c r="AN81" s="5">
        <f t="shared" si="37"/>
        <v>17410.752</v>
      </c>
      <c r="AO81" s="5">
        <f t="shared" si="37"/>
        <v>0</v>
      </c>
      <c r="AP81" s="5">
        <f t="shared" si="37"/>
        <v>73606.712</v>
      </c>
      <c r="AQ81" s="5">
        <f t="shared" si="37"/>
        <v>48557.67</v>
      </c>
      <c r="AR81" s="5">
        <f t="shared" si="37"/>
        <v>2805.7641999999996</v>
      </c>
      <c r="AS81" s="5">
        <f t="shared" si="37"/>
        <v>26011.34</v>
      </c>
      <c r="AT81" s="5">
        <f t="shared" si="37"/>
        <v>104026.0032</v>
      </c>
      <c r="AU81" s="5">
        <f t="shared" si="37"/>
        <v>53442.668</v>
      </c>
      <c r="AV81" s="5">
        <f t="shared" si="37"/>
        <v>128727.16983000001</v>
      </c>
      <c r="AW81" s="5">
        <f t="shared" si="37"/>
        <v>34222.481999999996</v>
      </c>
      <c r="AX81" s="5">
        <f t="shared" si="37"/>
        <v>1023.8660000000001</v>
      </c>
      <c r="AY81" s="5">
        <f t="shared" si="37"/>
        <v>0</v>
      </c>
      <c r="AZ81" s="5">
        <f t="shared" si="37"/>
        <v>40678.890761</v>
      </c>
      <c r="BA81" s="5">
        <f t="shared" si="37"/>
        <v>5770.588000000001</v>
      </c>
      <c r="BB81" s="5">
        <f t="shared" si="37"/>
        <v>16319.904000000002</v>
      </c>
      <c r="BC81" s="5">
        <f t="shared" si="37"/>
        <v>0</v>
      </c>
      <c r="BD81" s="5">
        <f t="shared" si="37"/>
        <v>2102.192</v>
      </c>
      <c r="BE81" s="5"/>
      <c r="BF81" s="7">
        <f t="shared" si="32"/>
        <v>42575053.1816934</v>
      </c>
      <c r="BG81" s="7"/>
      <c r="BH81" s="7">
        <f t="shared" si="33"/>
        <v>6150895.194045</v>
      </c>
      <c r="BI81" s="7">
        <f t="shared" si="34"/>
        <v>36424157.98764839</v>
      </c>
      <c r="BJ81" s="47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</row>
    <row r="82" spans="1:163" ht="12.75">
      <c r="A82" s="7" t="str">
        <f t="shared" si="30"/>
        <v>Veðlán (%)</v>
      </c>
      <c r="B82" s="71"/>
      <c r="C82" s="5">
        <f>+C76*C13/100</f>
        <v>17829665.588999998</v>
      </c>
      <c r="D82" s="5">
        <f aca="true" t="shared" si="38" ref="D82:BD82">+D76*D13/100</f>
        <v>7743646.24</v>
      </c>
      <c r="E82" s="5">
        <f t="shared" si="38"/>
        <v>23060671.782</v>
      </c>
      <c r="F82" s="5">
        <f t="shared" si="38"/>
        <v>6878071.66605</v>
      </c>
      <c r="G82" s="5">
        <f t="shared" si="38"/>
        <v>3350420.5</v>
      </c>
      <c r="H82" s="5">
        <f t="shared" si="38"/>
        <v>10042441.675</v>
      </c>
      <c r="I82" s="5">
        <f t="shared" si="38"/>
        <v>0</v>
      </c>
      <c r="J82" s="5">
        <f t="shared" si="38"/>
        <v>1104311.2092000002</v>
      </c>
      <c r="K82" s="5">
        <f t="shared" si="38"/>
        <v>0</v>
      </c>
      <c r="L82" s="5">
        <f t="shared" si="38"/>
        <v>1081389.045</v>
      </c>
      <c r="M82" s="5">
        <f t="shared" si="38"/>
        <v>355605.36</v>
      </c>
      <c r="N82" s="5">
        <f t="shared" si="38"/>
        <v>6226164.252</v>
      </c>
      <c r="O82" s="5">
        <f t="shared" si="38"/>
        <v>1274069.082</v>
      </c>
      <c r="P82" s="5">
        <f t="shared" si="38"/>
        <v>838852.2</v>
      </c>
      <c r="Q82" s="5">
        <f t="shared" si="38"/>
        <v>2219662.5</v>
      </c>
      <c r="R82" s="5">
        <f t="shared" si="38"/>
        <v>231366.3</v>
      </c>
      <c r="S82" s="5">
        <f t="shared" si="38"/>
        <v>2028861.254</v>
      </c>
      <c r="T82" s="5">
        <f t="shared" si="38"/>
        <v>983086.2159999999</v>
      </c>
      <c r="U82" s="5">
        <f t="shared" si="38"/>
        <v>578101.3539999999</v>
      </c>
      <c r="V82" s="5">
        <f t="shared" si="38"/>
        <v>3849018.1695</v>
      </c>
      <c r="W82" s="5">
        <f t="shared" si="38"/>
        <v>1598189.46</v>
      </c>
      <c r="X82" s="5">
        <f t="shared" si="38"/>
        <v>1166731.8639</v>
      </c>
      <c r="Y82" s="5">
        <f t="shared" si="38"/>
        <v>0</v>
      </c>
      <c r="Z82" s="5">
        <f t="shared" si="38"/>
        <v>743566.4656199999</v>
      </c>
      <c r="AA82" s="5">
        <f t="shared" si="38"/>
        <v>1560818.6431199997</v>
      </c>
      <c r="AB82" s="5">
        <f t="shared" si="38"/>
        <v>118343.448576</v>
      </c>
      <c r="AC82" s="5">
        <f t="shared" si="38"/>
        <v>11033.858</v>
      </c>
      <c r="AD82" s="5">
        <f t="shared" si="38"/>
        <v>2023631.525</v>
      </c>
      <c r="AE82" s="5">
        <f t="shared" si="38"/>
        <v>0</v>
      </c>
      <c r="AF82" s="5">
        <f t="shared" si="38"/>
        <v>1169460.147</v>
      </c>
      <c r="AG82" s="5">
        <f t="shared" si="38"/>
        <v>368180.1030400001</v>
      </c>
      <c r="AH82" s="5">
        <f t="shared" si="38"/>
        <v>658132.821</v>
      </c>
      <c r="AI82" s="5">
        <f t="shared" si="38"/>
        <v>0</v>
      </c>
      <c r="AJ82" s="5">
        <f t="shared" si="38"/>
        <v>78720.714</v>
      </c>
      <c r="AK82" s="5">
        <f t="shared" si="38"/>
        <v>4409.664</v>
      </c>
      <c r="AL82" s="5">
        <f t="shared" si="38"/>
        <v>2451.0660000000003</v>
      </c>
      <c r="AM82" s="5">
        <f t="shared" si="38"/>
        <v>58536.72</v>
      </c>
      <c r="AN82" s="5">
        <f t="shared" si="38"/>
        <v>27808.84</v>
      </c>
      <c r="AO82" s="5">
        <f t="shared" si="38"/>
        <v>0</v>
      </c>
      <c r="AP82" s="5">
        <f t="shared" si="38"/>
        <v>474164.16799999995</v>
      </c>
      <c r="AQ82" s="5">
        <f t="shared" si="38"/>
        <v>263830.00700000004</v>
      </c>
      <c r="AR82" s="5">
        <f t="shared" si="38"/>
        <v>20231.036600000003</v>
      </c>
      <c r="AS82" s="5">
        <f t="shared" si="38"/>
        <v>91039.69</v>
      </c>
      <c r="AT82" s="5">
        <f t="shared" si="38"/>
        <v>59902.3488</v>
      </c>
      <c r="AU82" s="5">
        <f t="shared" si="38"/>
        <v>0</v>
      </c>
      <c r="AV82" s="5">
        <f t="shared" si="38"/>
        <v>26971.407012000003</v>
      </c>
      <c r="AW82" s="5">
        <f t="shared" si="38"/>
        <v>82025.314</v>
      </c>
      <c r="AX82" s="5">
        <f t="shared" si="38"/>
        <v>0</v>
      </c>
      <c r="AY82" s="5">
        <f t="shared" si="38"/>
        <v>24254.723</v>
      </c>
      <c r="AZ82" s="5">
        <f t="shared" si="38"/>
        <v>12243.161296999999</v>
      </c>
      <c r="BA82" s="5">
        <f t="shared" si="38"/>
        <v>4653.7</v>
      </c>
      <c r="BB82" s="5">
        <f t="shared" si="38"/>
        <v>27084.096</v>
      </c>
      <c r="BC82" s="5">
        <f t="shared" si="38"/>
        <v>0</v>
      </c>
      <c r="BD82" s="5">
        <f t="shared" si="38"/>
        <v>3522.592</v>
      </c>
      <c r="BE82" s="5"/>
      <c r="BF82" s="7">
        <f t="shared" si="32"/>
        <v>100355341.97671498</v>
      </c>
      <c r="BG82" s="7"/>
      <c r="BH82" s="7">
        <f t="shared" si="33"/>
        <v>22474361.315097</v>
      </c>
      <c r="BI82" s="7">
        <f t="shared" si="34"/>
        <v>77880980.661618</v>
      </c>
      <c r="BJ82" s="47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ht="12.75">
      <c r="A83" s="7" t="str">
        <f t="shared" si="30"/>
        <v>Annað (%)</v>
      </c>
      <c r="B83" s="71"/>
      <c r="C83" s="5">
        <f>+C76*C25/100</f>
        <v>0</v>
      </c>
      <c r="D83" s="5">
        <f aca="true" t="shared" si="39" ref="D83:BD83">+D76*D25/100</f>
        <v>0</v>
      </c>
      <c r="E83" s="5">
        <f t="shared" si="39"/>
        <v>0</v>
      </c>
      <c r="F83" s="5">
        <f t="shared" si="39"/>
        <v>0</v>
      </c>
      <c r="G83" s="5">
        <f t="shared" si="39"/>
        <v>0</v>
      </c>
      <c r="H83" s="5">
        <f t="shared" si="39"/>
        <v>229541.52400000003</v>
      </c>
      <c r="I83" s="5">
        <f t="shared" si="39"/>
        <v>0</v>
      </c>
      <c r="J83" s="5">
        <f t="shared" si="39"/>
        <v>0</v>
      </c>
      <c r="K83" s="5">
        <f t="shared" si="39"/>
        <v>1099158.5472</v>
      </c>
      <c r="L83" s="5">
        <f t="shared" si="39"/>
        <v>0</v>
      </c>
      <c r="M83" s="5">
        <f t="shared" si="39"/>
        <v>0</v>
      </c>
      <c r="N83" s="5">
        <f t="shared" si="39"/>
        <v>0</v>
      </c>
      <c r="O83" s="5">
        <f t="shared" si="39"/>
        <v>0</v>
      </c>
      <c r="P83" s="5">
        <f t="shared" si="39"/>
        <v>0</v>
      </c>
      <c r="Q83" s="5">
        <f t="shared" si="39"/>
        <v>0</v>
      </c>
      <c r="R83" s="5">
        <f t="shared" si="39"/>
        <v>0</v>
      </c>
      <c r="S83" s="5">
        <f t="shared" si="39"/>
        <v>0</v>
      </c>
      <c r="T83" s="5">
        <f t="shared" si="39"/>
        <v>0</v>
      </c>
      <c r="U83" s="5">
        <f t="shared" si="39"/>
        <v>0</v>
      </c>
      <c r="V83" s="5">
        <f t="shared" si="39"/>
        <v>0</v>
      </c>
      <c r="W83" s="5">
        <f t="shared" si="39"/>
        <v>0</v>
      </c>
      <c r="X83" s="5">
        <f t="shared" si="39"/>
        <v>0</v>
      </c>
      <c r="Y83" s="5">
        <f t="shared" si="39"/>
        <v>0</v>
      </c>
      <c r="Z83" s="5">
        <f t="shared" si="39"/>
        <v>0</v>
      </c>
      <c r="AA83" s="5">
        <f t="shared" si="39"/>
        <v>0</v>
      </c>
      <c r="AB83" s="5">
        <f t="shared" si="39"/>
        <v>0</v>
      </c>
      <c r="AC83" s="5">
        <f t="shared" si="39"/>
        <v>0</v>
      </c>
      <c r="AD83" s="5">
        <f t="shared" si="39"/>
        <v>0</v>
      </c>
      <c r="AE83" s="5">
        <f t="shared" si="39"/>
        <v>0</v>
      </c>
      <c r="AF83" s="5">
        <f t="shared" si="39"/>
        <v>0</v>
      </c>
      <c r="AG83" s="5">
        <f t="shared" si="39"/>
        <v>0</v>
      </c>
      <c r="AH83" s="5">
        <f t="shared" si="39"/>
        <v>0</v>
      </c>
      <c r="AI83" s="5">
        <f t="shared" si="39"/>
        <v>0</v>
      </c>
      <c r="AJ83" s="5">
        <f t="shared" si="39"/>
        <v>0</v>
      </c>
      <c r="AK83" s="5">
        <f t="shared" si="39"/>
        <v>0</v>
      </c>
      <c r="AL83" s="5">
        <f t="shared" si="39"/>
        <v>0</v>
      </c>
      <c r="AM83" s="5">
        <f t="shared" si="39"/>
        <v>0</v>
      </c>
      <c r="AN83" s="5">
        <f t="shared" si="39"/>
        <v>0</v>
      </c>
      <c r="AO83" s="5">
        <f t="shared" si="39"/>
        <v>0</v>
      </c>
      <c r="AP83" s="5">
        <f t="shared" si="39"/>
        <v>0</v>
      </c>
      <c r="AQ83" s="5">
        <f t="shared" si="39"/>
        <v>0</v>
      </c>
      <c r="AR83" s="5">
        <f t="shared" si="39"/>
        <v>0</v>
      </c>
      <c r="AS83" s="5">
        <f t="shared" si="39"/>
        <v>0</v>
      </c>
      <c r="AT83" s="5">
        <f t="shared" si="39"/>
        <v>0</v>
      </c>
      <c r="AU83" s="5">
        <f t="shared" si="39"/>
        <v>0</v>
      </c>
      <c r="AV83" s="5">
        <f t="shared" si="39"/>
        <v>0</v>
      </c>
      <c r="AW83" s="5">
        <f t="shared" si="39"/>
        <v>0</v>
      </c>
      <c r="AX83" s="5">
        <f t="shared" si="39"/>
        <v>0</v>
      </c>
      <c r="AY83" s="5">
        <f t="shared" si="39"/>
        <v>0</v>
      </c>
      <c r="AZ83" s="5">
        <f t="shared" si="39"/>
        <v>0</v>
      </c>
      <c r="BA83" s="5">
        <f t="shared" si="39"/>
        <v>0</v>
      </c>
      <c r="BB83" s="5">
        <f t="shared" si="39"/>
        <v>0</v>
      </c>
      <c r="BC83" s="5">
        <f t="shared" si="39"/>
        <v>0</v>
      </c>
      <c r="BD83" s="5">
        <f t="shared" si="39"/>
        <v>0</v>
      </c>
      <c r="BE83" s="5"/>
      <c r="BF83" s="7">
        <f t="shared" si="32"/>
        <v>1328700.0712</v>
      </c>
      <c r="BG83" s="7"/>
      <c r="BH83" s="7">
        <f t="shared" si="33"/>
        <v>0</v>
      </c>
      <c r="BI83" s="7">
        <f t="shared" si="34"/>
        <v>1328700.0712</v>
      </c>
      <c r="BJ83" s="47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</row>
    <row r="84" spans="1:62" ht="12.75">
      <c r="A84" s="7" t="str">
        <f t="shared" si="30"/>
        <v>          Samtals:                                       </v>
      </c>
      <c r="B84" s="71"/>
      <c r="C84" s="5">
        <f aca="true" t="shared" si="40" ref="C84:AH84">SUM(C78:C83)</f>
        <v>126451529</v>
      </c>
      <c r="D84" s="5">
        <f t="shared" si="40"/>
        <v>48397789.00000001</v>
      </c>
      <c r="E84" s="5">
        <f t="shared" si="40"/>
        <v>141476514</v>
      </c>
      <c r="F84" s="5">
        <f t="shared" si="40"/>
        <v>74031717.60984999</v>
      </c>
      <c r="G84" s="5">
        <f t="shared" si="40"/>
        <v>67008410</v>
      </c>
      <c r="H84" s="5">
        <f t="shared" si="40"/>
        <v>57557537.143</v>
      </c>
      <c r="I84" s="5">
        <f t="shared" si="40"/>
        <v>0</v>
      </c>
      <c r="J84" s="5">
        <f t="shared" si="40"/>
        <v>34601751.22160001</v>
      </c>
      <c r="K84" s="5">
        <f t="shared" si="40"/>
        <v>6123166.336000001</v>
      </c>
      <c r="L84" s="5">
        <f t="shared" si="40"/>
        <v>32772641.936499998</v>
      </c>
      <c r="M84" s="5">
        <f t="shared" si="40"/>
        <v>6465552.000000001</v>
      </c>
      <c r="N84" s="5">
        <f t="shared" si="40"/>
        <v>25977231.522</v>
      </c>
      <c r="O84" s="5">
        <f t="shared" si="40"/>
        <v>19304076.999999996</v>
      </c>
      <c r="P84" s="5">
        <f t="shared" si="40"/>
        <v>5592348.000000001</v>
      </c>
      <c r="Q84" s="5">
        <f t="shared" si="40"/>
        <v>19956783.75</v>
      </c>
      <c r="R84" s="5">
        <f t="shared" si="40"/>
        <v>2080193.37</v>
      </c>
      <c r="S84" s="5">
        <f t="shared" si="40"/>
        <v>18613406</v>
      </c>
      <c r="T84" s="5">
        <f t="shared" si="40"/>
        <v>16659800.339000002</v>
      </c>
      <c r="U84" s="5">
        <f t="shared" si="40"/>
        <v>17002981</v>
      </c>
      <c r="V84" s="5">
        <f t="shared" si="40"/>
        <v>16497948.4677</v>
      </c>
      <c r="W84" s="5">
        <f t="shared" si="40"/>
        <v>15236072.851999998</v>
      </c>
      <c r="X84" s="5">
        <f t="shared" si="40"/>
        <v>14659055.2083</v>
      </c>
      <c r="Y84" s="5">
        <f t="shared" si="40"/>
        <v>13817866.076</v>
      </c>
      <c r="Z84" s="5">
        <f t="shared" si="40"/>
        <v>13121277.851879997</v>
      </c>
      <c r="AA84" s="5">
        <f t="shared" si="40"/>
        <v>10080287.07015</v>
      </c>
      <c r="AB84" s="5">
        <f t="shared" si="40"/>
        <v>764301.43872</v>
      </c>
      <c r="AC84" s="5">
        <f t="shared" si="40"/>
        <v>10735943.833999999</v>
      </c>
      <c r="AD84" s="5">
        <f t="shared" si="40"/>
        <v>7467275</v>
      </c>
      <c r="AE84" s="5">
        <f t="shared" si="40"/>
        <v>1067646.6176607</v>
      </c>
      <c r="AF84" s="5">
        <f t="shared" si="40"/>
        <v>10098964.999999998</v>
      </c>
      <c r="AG84" s="5">
        <f t="shared" si="40"/>
        <v>8663061.248000002</v>
      </c>
      <c r="AH84" s="5">
        <f t="shared" si="40"/>
        <v>6935163.0600000005</v>
      </c>
      <c r="AI84" s="5">
        <f aca="true" t="shared" si="41" ref="AI84:BD84">SUM(AI78:AI83)</f>
        <v>3991697.716000001</v>
      </c>
      <c r="AJ84" s="5">
        <f t="shared" si="41"/>
        <v>2915582</v>
      </c>
      <c r="AK84" s="5">
        <f t="shared" si="41"/>
        <v>183736</v>
      </c>
      <c r="AL84" s="5">
        <f t="shared" si="41"/>
        <v>2451066.0000000005</v>
      </c>
      <c r="AM84" s="5">
        <f t="shared" si="41"/>
        <v>2107321.92</v>
      </c>
      <c r="AN84" s="5">
        <f t="shared" si="41"/>
        <v>2418159.9999999995</v>
      </c>
      <c r="AO84" s="5">
        <f t="shared" si="41"/>
        <v>163648</v>
      </c>
      <c r="AP84" s="5">
        <f t="shared" si="41"/>
        <v>1711784</v>
      </c>
      <c r="AQ84" s="5">
        <f t="shared" si="41"/>
        <v>1618589</v>
      </c>
      <c r="AR84" s="5">
        <f t="shared" si="41"/>
        <v>1476718.0000000002</v>
      </c>
      <c r="AS84" s="5">
        <f t="shared" si="41"/>
        <v>1300567.0000000002</v>
      </c>
      <c r="AT84" s="5">
        <f t="shared" si="41"/>
        <v>944832.0000000001</v>
      </c>
      <c r="AU84" s="5">
        <f t="shared" si="41"/>
        <v>703192.9999999999</v>
      </c>
      <c r="AV84" s="5">
        <f t="shared" si="41"/>
        <v>245807.59572300003</v>
      </c>
      <c r="AW84" s="5">
        <f t="shared" si="41"/>
        <v>543214</v>
      </c>
      <c r="AX84" s="5">
        <f t="shared" si="41"/>
        <v>511933</v>
      </c>
      <c r="AY84" s="5">
        <f t="shared" si="41"/>
        <v>411096.99999999994</v>
      </c>
      <c r="AZ84" s="5">
        <f t="shared" si="41"/>
        <v>366110.016849</v>
      </c>
      <c r="BA84" s="5">
        <f t="shared" si="41"/>
        <v>158970.392</v>
      </c>
      <c r="BB84" s="5">
        <f t="shared" si="41"/>
        <v>43404</v>
      </c>
      <c r="BC84" s="5">
        <f t="shared" si="41"/>
        <v>0</v>
      </c>
      <c r="BD84" s="5">
        <f t="shared" si="41"/>
        <v>14204</v>
      </c>
      <c r="BE84" s="5"/>
      <c r="BF84" s="7">
        <f t="shared" si="32"/>
        <v>873499927.5929323</v>
      </c>
      <c r="BG84" s="7"/>
      <c r="BH84" s="7">
        <f t="shared" si="33"/>
        <v>160031984.976849</v>
      </c>
      <c r="BI84" s="7">
        <f t="shared" si="34"/>
        <v>713467942.6160835</v>
      </c>
      <c r="BJ84" s="47"/>
    </row>
    <row r="85" spans="3:62" ht="12.75">
      <c r="C85" s="5"/>
      <c r="D85" s="7"/>
      <c r="E85" s="5"/>
      <c r="F85" s="5"/>
      <c r="G85" s="5"/>
      <c r="H85" s="5"/>
      <c r="I85" s="7"/>
      <c r="J85" s="7"/>
      <c r="K85" s="5"/>
      <c r="L85" s="7"/>
      <c r="M85" s="5"/>
      <c r="N85" s="5"/>
      <c r="O85" s="7"/>
      <c r="P85" s="7"/>
      <c r="Q85" s="7"/>
      <c r="R85" s="7"/>
      <c r="S85" s="5"/>
      <c r="T85" s="7"/>
      <c r="U85" s="5"/>
      <c r="V85" s="7"/>
      <c r="W85" s="5"/>
      <c r="X85" s="7"/>
      <c r="Y85" s="5"/>
      <c r="Z85" s="7"/>
      <c r="AA85" s="5"/>
      <c r="AB85" s="5"/>
      <c r="AC85" s="7"/>
      <c r="AD85" s="5"/>
      <c r="AE85" s="7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7"/>
      <c r="AQ85" s="5"/>
      <c r="AR85" s="5"/>
      <c r="AS85" s="7"/>
      <c r="AT85" s="5"/>
      <c r="AU85" s="5"/>
      <c r="AV85" s="5"/>
      <c r="AW85" s="5"/>
      <c r="AX85" s="5"/>
      <c r="AY85" s="5"/>
      <c r="AZ85" s="5"/>
      <c r="BA85" s="5"/>
      <c r="BB85" s="5"/>
      <c r="BC85" s="7"/>
      <c r="BD85" s="7"/>
      <c r="BE85" s="53"/>
      <c r="BF85" s="7"/>
      <c r="BG85" s="7"/>
      <c r="BH85" s="7"/>
      <c r="BI85" s="7"/>
      <c r="BJ85" s="47"/>
    </row>
    <row r="86" spans="2:65" s="50" customFormat="1" ht="12.75">
      <c r="B86" s="23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47"/>
      <c r="BK86" s="7"/>
      <c r="BL86" s="7"/>
      <c r="BM86" s="7"/>
    </row>
    <row r="87" spans="3:62" ht="12.75">
      <c r="C87" s="5"/>
      <c r="D87" s="53"/>
      <c r="E87" s="53"/>
      <c r="G87" s="53"/>
      <c r="H87" s="53"/>
      <c r="I87" s="53"/>
      <c r="J87" s="53"/>
      <c r="K87" s="53"/>
      <c r="L87" s="53"/>
      <c r="M87" s="53"/>
      <c r="N87" s="53"/>
      <c r="O87" s="75"/>
      <c r="P87" s="75"/>
      <c r="Q87" s="75"/>
      <c r="R87" s="75"/>
      <c r="S87" s="53"/>
      <c r="T87" s="53"/>
      <c r="U87" s="53"/>
      <c r="V87" s="75"/>
      <c r="W87" s="53"/>
      <c r="X87" s="53"/>
      <c r="Y87" s="53"/>
      <c r="Z87" s="53"/>
      <c r="AA87" s="53"/>
      <c r="AB87" s="53"/>
      <c r="AC87" s="53"/>
      <c r="AD87" s="53"/>
      <c r="AE87" s="75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75"/>
      <c r="AQ87" s="53"/>
      <c r="AR87" s="53"/>
      <c r="AS87" s="75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75"/>
      <c r="BE87" s="53"/>
      <c r="BF87" s="53"/>
      <c r="BG87" s="53"/>
      <c r="BH87" s="53"/>
      <c r="BI87" s="53"/>
      <c r="BJ87" s="47"/>
    </row>
    <row r="88" spans="1:62" ht="12.75">
      <c r="A88" s="14" t="s">
        <v>368</v>
      </c>
      <c r="B88" s="71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75"/>
      <c r="P88" s="75"/>
      <c r="Q88" s="75"/>
      <c r="R88" s="75"/>
      <c r="S88" s="53"/>
      <c r="T88" s="53"/>
      <c r="U88" s="53"/>
      <c r="V88" s="75"/>
      <c r="W88" s="53"/>
      <c r="X88" s="53"/>
      <c r="Y88" s="53"/>
      <c r="Z88" s="53"/>
      <c r="AA88" s="53"/>
      <c r="AB88" s="53"/>
      <c r="AC88" s="53"/>
      <c r="AD88" s="53"/>
      <c r="AE88" s="75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75"/>
      <c r="AQ88" s="53"/>
      <c r="AR88" s="53"/>
      <c r="AS88" s="75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75"/>
      <c r="BE88" s="53"/>
      <c r="BF88" s="53"/>
      <c r="BG88" s="53"/>
      <c r="BH88" s="53"/>
      <c r="BI88" s="53"/>
      <c r="BJ88" s="47"/>
    </row>
    <row r="89" spans="1:62" ht="12.75">
      <c r="A89" s="7" t="str">
        <f>+A16</f>
        <v>Eignir í ísl. kr. (%)</v>
      </c>
      <c r="B89" s="71"/>
      <c r="C89" s="5">
        <f>+C76*C16/100</f>
        <v>98632192.62</v>
      </c>
      <c r="D89" s="5">
        <f aca="true" t="shared" si="42" ref="D89:BD89">+D76*D16/100</f>
        <v>32668507.575</v>
      </c>
      <c r="E89" s="5">
        <f t="shared" si="42"/>
        <v>105400002.93</v>
      </c>
      <c r="F89" s="5">
        <f t="shared" si="42"/>
        <v>58278714.76179999</v>
      </c>
      <c r="G89" s="5">
        <f t="shared" si="42"/>
        <v>54276812.1</v>
      </c>
      <c r="H89" s="5">
        <f t="shared" si="42"/>
        <v>40915776.653</v>
      </c>
      <c r="I89" s="5">
        <f t="shared" si="42"/>
        <v>0</v>
      </c>
      <c r="J89" s="5">
        <f t="shared" si="42"/>
        <v>27607780.230000004</v>
      </c>
      <c r="K89" s="5">
        <f t="shared" si="42"/>
        <v>3377779.4623999996</v>
      </c>
      <c r="L89" s="5">
        <f t="shared" si="42"/>
        <v>26674263.11</v>
      </c>
      <c r="M89" s="5">
        <f t="shared" si="42"/>
        <v>4480627.535999999</v>
      </c>
      <c r="N89" s="5">
        <f t="shared" si="42"/>
        <v>21582292.05</v>
      </c>
      <c r="O89" s="5">
        <f t="shared" si="42"/>
        <v>17257844.838000003</v>
      </c>
      <c r="P89" s="5">
        <f t="shared" si="42"/>
        <v>4815011.628</v>
      </c>
      <c r="Q89" s="5">
        <f t="shared" si="42"/>
        <v>18100338.75</v>
      </c>
      <c r="R89" s="5">
        <f t="shared" si="42"/>
        <v>1886687.01</v>
      </c>
      <c r="S89" s="5">
        <f t="shared" si="42"/>
        <v>14779044.364</v>
      </c>
      <c r="T89" s="5">
        <f t="shared" si="42"/>
        <v>13412104.804000001</v>
      </c>
      <c r="U89" s="5">
        <f t="shared" si="42"/>
        <v>14129477.211</v>
      </c>
      <c r="V89" s="5">
        <f t="shared" si="42"/>
        <v>12662347.355</v>
      </c>
      <c r="W89" s="5">
        <f t="shared" si="42"/>
        <v>11202547.071999999</v>
      </c>
      <c r="X89" s="5">
        <f t="shared" si="42"/>
        <v>12670617.245700002</v>
      </c>
      <c r="Y89" s="5">
        <f t="shared" si="42"/>
        <v>11101282.416</v>
      </c>
      <c r="Z89" s="5">
        <f t="shared" si="42"/>
        <v>10770074.1291</v>
      </c>
      <c r="AA89" s="5">
        <f t="shared" si="42"/>
        <v>8844638.977679998</v>
      </c>
      <c r="AB89" s="5">
        <f t="shared" si="42"/>
        <v>670612.8752639999</v>
      </c>
      <c r="AC89" s="5">
        <f t="shared" si="42"/>
        <v>9389813.158</v>
      </c>
      <c r="AD89" s="5">
        <f t="shared" si="42"/>
        <v>7295527.675</v>
      </c>
      <c r="AE89" s="5">
        <f t="shared" si="42"/>
        <v>832954.4218793001</v>
      </c>
      <c r="AF89" s="5">
        <f t="shared" si="42"/>
        <v>8508378.0125</v>
      </c>
      <c r="AG89" s="5">
        <f t="shared" si="42"/>
        <v>8596355.676390402</v>
      </c>
      <c r="AH89" s="5">
        <f t="shared" si="42"/>
        <v>4691850.111</v>
      </c>
      <c r="AI89" s="5">
        <f t="shared" si="42"/>
        <v>3991697.716</v>
      </c>
      <c r="AJ89" s="5">
        <f t="shared" si="42"/>
        <v>2696913.35</v>
      </c>
      <c r="AK89" s="5">
        <f t="shared" si="42"/>
        <v>183736</v>
      </c>
      <c r="AL89" s="5">
        <f t="shared" si="42"/>
        <v>2208410.466</v>
      </c>
      <c r="AM89" s="5">
        <f t="shared" si="42"/>
        <v>1978053.33</v>
      </c>
      <c r="AN89" s="5">
        <f t="shared" si="42"/>
        <v>2252516.04</v>
      </c>
      <c r="AO89" s="5">
        <f t="shared" si="42"/>
        <v>139018.976</v>
      </c>
      <c r="AP89" s="5">
        <f t="shared" si="42"/>
        <v>1330056.168</v>
      </c>
      <c r="AQ89" s="5">
        <f t="shared" si="42"/>
        <v>1294871.2</v>
      </c>
      <c r="AR89" s="5">
        <f t="shared" si="42"/>
        <v>1323730.0152</v>
      </c>
      <c r="AS89" s="5">
        <f t="shared" si="42"/>
        <v>1066464.94</v>
      </c>
      <c r="AT89" s="5">
        <f t="shared" si="42"/>
        <v>739520.0064</v>
      </c>
      <c r="AU89" s="5">
        <f t="shared" si="42"/>
        <v>680690.8239999999</v>
      </c>
      <c r="AV89" s="5">
        <f t="shared" si="42"/>
        <v>605630.684724</v>
      </c>
      <c r="AW89" s="5">
        <f t="shared" si="42"/>
        <v>416101.924</v>
      </c>
      <c r="AX89" s="5">
        <f t="shared" si="42"/>
        <v>476097.69</v>
      </c>
      <c r="AY89" s="5">
        <f t="shared" si="42"/>
        <v>411097</v>
      </c>
      <c r="AZ89" s="5">
        <f t="shared" si="42"/>
        <v>388621.636008</v>
      </c>
      <c r="BA89" s="5">
        <f t="shared" si="42"/>
        <v>186148</v>
      </c>
      <c r="BB89" s="5">
        <f t="shared" si="42"/>
        <v>43404</v>
      </c>
      <c r="BC89" s="5">
        <f t="shared" si="42"/>
        <v>0</v>
      </c>
      <c r="BD89" s="5">
        <f t="shared" si="42"/>
        <v>13804.8676</v>
      </c>
      <c r="BE89" s="53"/>
      <c r="BF89" s="7">
        <f>SUM(C89:BD89)</f>
        <v>687938841.5926458</v>
      </c>
      <c r="BG89" s="7"/>
      <c r="BH89" s="7">
        <f>+C89+W89+AD89+AI89+AK89+AP89+AQ89+AS89+AT89+AW89+AZ89+BA89+BB89+BD89</f>
        <v>126784693.82500799</v>
      </c>
      <c r="BI89" s="7">
        <f>+D89+E89+F89+G89+H89+I89+J89+K89+L89+M89+N89+O89+P89+Q89+R89+S89+T89+U89+V89+X89+Y89+Z89+AA89+AB89+AC89+AE89+AF89+AG89+AH89+AJ89+AL89+AM89+AN89+AO89+AR89+AU89+AV89+AX89+AY89+BC89</f>
        <v>561154147.7676377</v>
      </c>
      <c r="BJ89" s="47"/>
    </row>
    <row r="90" spans="1:62" ht="12.75">
      <c r="A90" s="7" t="str">
        <f>+A17</f>
        <v>Eignir í erl. gjaldmiðlum (%)</v>
      </c>
      <c r="B90" s="71"/>
      <c r="C90" s="5">
        <f>+C76*C17/100</f>
        <v>27819336.38</v>
      </c>
      <c r="D90" s="5">
        <f aca="true" t="shared" si="43" ref="D90:BD90">+D76*D17/100</f>
        <v>15729281.425</v>
      </c>
      <c r="E90" s="5">
        <f t="shared" si="43"/>
        <v>36076511.07</v>
      </c>
      <c r="F90" s="5">
        <f t="shared" si="43"/>
        <v>15679045.0882</v>
      </c>
      <c r="G90" s="5">
        <f t="shared" si="43"/>
        <v>12731597.9</v>
      </c>
      <c r="H90" s="5">
        <f t="shared" si="43"/>
        <v>16469604.347000001</v>
      </c>
      <c r="I90" s="5">
        <f t="shared" si="43"/>
        <v>0</v>
      </c>
      <c r="J90" s="5">
        <f t="shared" si="43"/>
        <v>9202593.410000002</v>
      </c>
      <c r="K90" s="5">
        <f t="shared" si="43"/>
        <v>1641209.3376000002</v>
      </c>
      <c r="L90" s="5">
        <f t="shared" si="43"/>
        <v>6095101.89</v>
      </c>
      <c r="M90" s="5">
        <f t="shared" si="43"/>
        <v>1984924.4640000002</v>
      </c>
      <c r="N90" s="5">
        <f t="shared" si="43"/>
        <v>4578061.95</v>
      </c>
      <c r="O90" s="5">
        <f t="shared" si="43"/>
        <v>2046232.1619999998</v>
      </c>
      <c r="P90" s="5">
        <f t="shared" si="43"/>
        <v>777336.372</v>
      </c>
      <c r="Q90" s="5">
        <f t="shared" si="43"/>
        <v>2078411.25</v>
      </c>
      <c r="R90" s="5">
        <f t="shared" si="43"/>
        <v>216642.99</v>
      </c>
      <c r="S90" s="5">
        <f t="shared" si="43"/>
        <v>3834361.6360000004</v>
      </c>
      <c r="T90" s="5">
        <f t="shared" si="43"/>
        <v>4143006.1960000005</v>
      </c>
      <c r="U90" s="5">
        <f t="shared" si="43"/>
        <v>2873503.789</v>
      </c>
      <c r="V90" s="5">
        <f t="shared" si="43"/>
        <v>4108973.645</v>
      </c>
      <c r="W90" s="5">
        <f t="shared" si="43"/>
        <v>4018304.9279999994</v>
      </c>
      <c r="X90" s="5">
        <f t="shared" si="43"/>
        <v>2462091.7543</v>
      </c>
      <c r="Y90" s="5">
        <f t="shared" si="43"/>
        <v>3582953.584</v>
      </c>
      <c r="Z90" s="5">
        <f t="shared" si="43"/>
        <v>2923599.2709000004</v>
      </c>
      <c r="AA90" s="5">
        <f t="shared" si="43"/>
        <v>1994379.3773199997</v>
      </c>
      <c r="AB90" s="5">
        <f t="shared" si="43"/>
        <v>151216.62873599998</v>
      </c>
      <c r="AC90" s="5">
        <f t="shared" si="43"/>
        <v>1644044.8420000002</v>
      </c>
      <c r="AD90" s="5">
        <f t="shared" si="43"/>
        <v>171747.325</v>
      </c>
      <c r="AE90" s="5">
        <f t="shared" si="43"/>
        <v>234798.9711207</v>
      </c>
      <c r="AF90" s="5">
        <f t="shared" si="43"/>
        <v>1590586.9875</v>
      </c>
      <c r="AG90" s="5">
        <f t="shared" si="43"/>
        <v>66705.57160960001</v>
      </c>
      <c r="AH90" s="5">
        <f t="shared" si="43"/>
        <v>2384846.889</v>
      </c>
      <c r="AI90" s="5">
        <f t="shared" si="43"/>
        <v>0</v>
      </c>
      <c r="AJ90" s="5">
        <f t="shared" si="43"/>
        <v>218668.65</v>
      </c>
      <c r="AK90" s="5">
        <f t="shared" si="43"/>
        <v>0</v>
      </c>
      <c r="AL90" s="5">
        <f t="shared" si="43"/>
        <v>242655.534</v>
      </c>
      <c r="AM90" s="5">
        <f t="shared" si="43"/>
        <v>460976.67</v>
      </c>
      <c r="AN90" s="5">
        <f t="shared" si="43"/>
        <v>165643.96</v>
      </c>
      <c r="AO90" s="5">
        <f t="shared" si="43"/>
        <v>24629.023999999998</v>
      </c>
      <c r="AP90" s="5">
        <f t="shared" si="43"/>
        <v>381727.83200000005</v>
      </c>
      <c r="AQ90" s="5">
        <f t="shared" si="43"/>
        <v>323717.8</v>
      </c>
      <c r="AR90" s="5">
        <f t="shared" si="43"/>
        <v>152987.98479999998</v>
      </c>
      <c r="AS90" s="5">
        <f t="shared" si="43"/>
        <v>234102.06</v>
      </c>
      <c r="AT90" s="5">
        <f t="shared" si="43"/>
        <v>205311.9936</v>
      </c>
      <c r="AU90" s="5">
        <f t="shared" si="43"/>
        <v>22502.176</v>
      </c>
      <c r="AV90" s="5">
        <f t="shared" si="43"/>
        <v>7355.838276</v>
      </c>
      <c r="AW90" s="5">
        <f t="shared" si="43"/>
        <v>127112.076</v>
      </c>
      <c r="AX90" s="5">
        <f t="shared" si="43"/>
        <v>35835.31</v>
      </c>
      <c r="AY90" s="5">
        <f t="shared" si="43"/>
        <v>0</v>
      </c>
      <c r="AZ90" s="5">
        <f t="shared" si="43"/>
        <v>6319.050992</v>
      </c>
      <c r="BA90" s="5">
        <f t="shared" si="43"/>
        <v>0</v>
      </c>
      <c r="BB90" s="5">
        <f t="shared" si="43"/>
        <v>0</v>
      </c>
      <c r="BC90" s="5">
        <f t="shared" si="43"/>
        <v>0</v>
      </c>
      <c r="BD90" s="5">
        <f t="shared" si="43"/>
        <v>399.13239999999996</v>
      </c>
      <c r="BE90" s="53"/>
      <c r="BF90" s="7">
        <f>SUM(C90:BD90)</f>
        <v>191920956.52335432</v>
      </c>
      <c r="BG90" s="7"/>
      <c r="BH90" s="7">
        <f>+C90+W90+AD90+AI90+AK90+AP90+AQ90+AS90+AT90+AW90+AZ90+BA90+BB90+BD90</f>
        <v>33288078.577991996</v>
      </c>
      <c r="BI90" s="7">
        <f>+D90+E90+F90+G90+H90+I90+J90+K90+L90+M90+N90+O90+P90+Q90+R90+S90+T90+U90+V90+X90+Y90+Z90+AA90+AB90+AC90+AE90+AF90+AG90+AH90+AJ90+AL90+AM90+AN90+AO90+AR90+AU90+AV90+AX90+AY90+BC90</f>
        <v>158632877.9453623</v>
      </c>
      <c r="BJ90" s="47"/>
    </row>
    <row r="91" spans="1:62" ht="12.75">
      <c r="A91" s="7" t="str">
        <f>+A18</f>
        <v>          Samtals:                                        </v>
      </c>
      <c r="B91" s="71"/>
      <c r="C91" s="5">
        <f aca="true" t="shared" si="44" ref="C91:AH91">SUM(C89:C90)</f>
        <v>126451529</v>
      </c>
      <c r="D91" s="5">
        <f t="shared" si="44"/>
        <v>48397789</v>
      </c>
      <c r="E91" s="5">
        <f t="shared" si="44"/>
        <v>141476514</v>
      </c>
      <c r="F91" s="5">
        <f t="shared" si="44"/>
        <v>73957759.85</v>
      </c>
      <c r="G91" s="5">
        <f t="shared" si="44"/>
        <v>67008410</v>
      </c>
      <c r="H91" s="5">
        <f t="shared" si="44"/>
        <v>57385381</v>
      </c>
      <c r="I91" s="5">
        <f t="shared" si="44"/>
        <v>0</v>
      </c>
      <c r="J91" s="5">
        <f t="shared" si="44"/>
        <v>36810373.64000001</v>
      </c>
      <c r="K91" s="5">
        <f t="shared" si="44"/>
        <v>5018988.8</v>
      </c>
      <c r="L91" s="5">
        <f t="shared" si="44"/>
        <v>32769365</v>
      </c>
      <c r="M91" s="5">
        <f t="shared" si="44"/>
        <v>6465552</v>
      </c>
      <c r="N91" s="5">
        <f t="shared" si="44"/>
        <v>26160354</v>
      </c>
      <c r="O91" s="5">
        <f t="shared" si="44"/>
        <v>19304077.000000004</v>
      </c>
      <c r="P91" s="5">
        <f t="shared" si="44"/>
        <v>5592348</v>
      </c>
      <c r="Q91" s="5">
        <f t="shared" si="44"/>
        <v>20178750</v>
      </c>
      <c r="R91" s="5">
        <f t="shared" si="44"/>
        <v>2103330</v>
      </c>
      <c r="S91" s="5">
        <f t="shared" si="44"/>
        <v>18613406</v>
      </c>
      <c r="T91" s="5">
        <f t="shared" si="44"/>
        <v>17555111</v>
      </c>
      <c r="U91" s="5">
        <f t="shared" si="44"/>
        <v>17002981</v>
      </c>
      <c r="V91" s="5">
        <f t="shared" si="44"/>
        <v>16771321</v>
      </c>
      <c r="W91" s="5">
        <f t="shared" si="44"/>
        <v>15220851.999999998</v>
      </c>
      <c r="X91" s="5">
        <f t="shared" si="44"/>
        <v>15132709.000000002</v>
      </c>
      <c r="Y91" s="5">
        <f t="shared" si="44"/>
        <v>14684236</v>
      </c>
      <c r="Z91" s="5">
        <f t="shared" si="44"/>
        <v>13693673.4</v>
      </c>
      <c r="AA91" s="5">
        <f t="shared" si="44"/>
        <v>10839018.354999997</v>
      </c>
      <c r="AB91" s="5">
        <f t="shared" si="44"/>
        <v>821829.504</v>
      </c>
      <c r="AC91" s="5">
        <f t="shared" si="44"/>
        <v>11033858</v>
      </c>
      <c r="AD91" s="5">
        <f t="shared" si="44"/>
        <v>7467275</v>
      </c>
      <c r="AE91" s="5">
        <f t="shared" si="44"/>
        <v>1067753.3930000002</v>
      </c>
      <c r="AF91" s="5">
        <f t="shared" si="44"/>
        <v>10098965</v>
      </c>
      <c r="AG91" s="5">
        <f t="shared" si="44"/>
        <v>8663061.248000002</v>
      </c>
      <c r="AH91" s="5">
        <f t="shared" si="44"/>
        <v>7076697</v>
      </c>
      <c r="AI91" s="5">
        <f aca="true" t="shared" si="45" ref="AI91:BD91">SUM(AI89:AI90)</f>
        <v>3991697.716</v>
      </c>
      <c r="AJ91" s="5">
        <f t="shared" si="45"/>
        <v>2915582</v>
      </c>
      <c r="AK91" s="5">
        <f t="shared" si="45"/>
        <v>183736</v>
      </c>
      <c r="AL91" s="5">
        <f t="shared" si="45"/>
        <v>2451066</v>
      </c>
      <c r="AM91" s="5">
        <f t="shared" si="45"/>
        <v>2439030</v>
      </c>
      <c r="AN91" s="5">
        <f t="shared" si="45"/>
        <v>2418160</v>
      </c>
      <c r="AO91" s="5">
        <f t="shared" si="45"/>
        <v>163648</v>
      </c>
      <c r="AP91" s="5">
        <f t="shared" si="45"/>
        <v>1711784</v>
      </c>
      <c r="AQ91" s="5">
        <f t="shared" si="45"/>
        <v>1618589</v>
      </c>
      <c r="AR91" s="5">
        <f t="shared" si="45"/>
        <v>1476718</v>
      </c>
      <c r="AS91" s="5">
        <f t="shared" si="45"/>
        <v>1300567</v>
      </c>
      <c r="AT91" s="5">
        <f t="shared" si="45"/>
        <v>944832</v>
      </c>
      <c r="AU91" s="5">
        <f t="shared" si="45"/>
        <v>703192.9999999999</v>
      </c>
      <c r="AV91" s="5">
        <f t="shared" si="45"/>
        <v>612986.523</v>
      </c>
      <c r="AW91" s="5">
        <f t="shared" si="45"/>
        <v>543214</v>
      </c>
      <c r="AX91" s="5">
        <f t="shared" si="45"/>
        <v>511933</v>
      </c>
      <c r="AY91" s="5">
        <f t="shared" si="45"/>
        <v>411097</v>
      </c>
      <c r="AZ91" s="5">
        <f t="shared" si="45"/>
        <v>394940.687</v>
      </c>
      <c r="BA91" s="5">
        <f t="shared" si="45"/>
        <v>186148</v>
      </c>
      <c r="BB91" s="5">
        <f t="shared" si="45"/>
        <v>43404</v>
      </c>
      <c r="BC91" s="5">
        <f t="shared" si="45"/>
        <v>0</v>
      </c>
      <c r="BD91" s="5">
        <f t="shared" si="45"/>
        <v>14204</v>
      </c>
      <c r="BE91" s="53"/>
      <c r="BF91" s="7">
        <f>SUM(C91:BD91)</f>
        <v>879859798.1159999</v>
      </c>
      <c r="BG91" s="7"/>
      <c r="BH91" s="7">
        <f>+C91+W91+AD91+AI91+AK91+AP91+AQ91+AS91+AT91+AW91+AZ91+BA91+BB91+BD91</f>
        <v>160072772.403</v>
      </c>
      <c r="BI91" s="7">
        <f>+D91+E91+F91+G91+H91+I91+J91+K91+L91+M91+N91+O91+P91+Q91+R91+S91+T91+U91+V91+X91+Y91+Z91+AA91+AB91+AC91+AE91+AF91+AG91+AH91+AJ91+AL91+AM91+AN91+AO91+AR91+AU91+AV91+AX91+AY91+BC91</f>
        <v>719787025.7129999</v>
      </c>
      <c r="BJ91" s="47"/>
    </row>
    <row r="92" spans="3:62" ht="12.75">
      <c r="C92" s="5"/>
      <c r="D92" s="5"/>
      <c r="E92" s="5"/>
      <c r="F92" s="5"/>
      <c r="G92" s="5"/>
      <c r="H92" s="5"/>
      <c r="I92" s="5"/>
      <c r="J92" s="7"/>
      <c r="K92" s="5"/>
      <c r="L92" s="5"/>
      <c r="M92" s="5"/>
      <c r="N92" s="5"/>
      <c r="O92" s="7"/>
      <c r="P92" s="7"/>
      <c r="Q92" s="7"/>
      <c r="R92" s="7"/>
      <c r="S92" s="5"/>
      <c r="T92" s="5"/>
      <c r="U92" s="5"/>
      <c r="V92" s="7"/>
      <c r="W92" s="5"/>
      <c r="X92" s="5"/>
      <c r="Y92" s="5"/>
      <c r="Z92" s="5"/>
      <c r="AA92" s="5"/>
      <c r="AB92" s="5"/>
      <c r="AC92" s="7"/>
      <c r="AD92" s="5"/>
      <c r="AE92" s="7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7"/>
      <c r="AQ92" s="5"/>
      <c r="AR92" s="5"/>
      <c r="AS92" s="7"/>
      <c r="AT92" s="5"/>
      <c r="AU92" s="5"/>
      <c r="AV92" s="5"/>
      <c r="AW92" s="5"/>
      <c r="AX92" s="5"/>
      <c r="AY92" s="5"/>
      <c r="AZ92" s="5"/>
      <c r="BA92" s="5"/>
      <c r="BB92" s="5"/>
      <c r="BC92" s="7"/>
      <c r="BD92" s="7"/>
      <c r="BF92" s="7"/>
      <c r="BG92" s="7"/>
      <c r="BH92" s="7"/>
      <c r="BI92" s="7"/>
      <c r="BJ92" s="47"/>
    </row>
  </sheetData>
  <sheetProtection/>
  <mergeCells count="24">
    <mergeCell ref="C1:D1"/>
    <mergeCell ref="H1:I1"/>
    <mergeCell ref="Q8:R8"/>
    <mergeCell ref="C2:D2"/>
    <mergeCell ref="H2:I2"/>
    <mergeCell ref="Q2:R2"/>
    <mergeCell ref="C4:D4"/>
    <mergeCell ref="H4:I4"/>
    <mergeCell ref="O4:P4"/>
    <mergeCell ref="H3:I3"/>
    <mergeCell ref="O3:P3"/>
    <mergeCell ref="Q3:R3"/>
    <mergeCell ref="AA3:AB3"/>
    <mergeCell ref="AA1:AB1"/>
    <mergeCell ref="AJ3:AK3"/>
    <mergeCell ref="Q4:R4"/>
    <mergeCell ref="AA4:AB4"/>
    <mergeCell ref="AJ4:AK4"/>
    <mergeCell ref="AJ1:AK1"/>
    <mergeCell ref="O2:P2"/>
    <mergeCell ref="AA2:AB2"/>
    <mergeCell ref="AJ2:AK2"/>
    <mergeCell ref="O1:P1"/>
    <mergeCell ref="Q1:R1"/>
  </mergeCells>
  <printOptions/>
  <pageMargins left="0.4724409448818898" right="0.2362204724409449" top="1.1811023622047245" bottom="0.2755905511811024" header="0.5118110236220472" footer="0.1968503937007874"/>
  <pageSetup firstPageNumber="45" useFirstPageNumber="1" horizontalDpi="600" verticalDpi="600" orientation="portrait" paperSize="9" r:id="rId1"/>
  <headerFooter alignWithMargins="0">
    <oddHeader>&amp;C&amp;"Times New Roman,Bold"&amp;14 4.2. KENNITÖLUR SAMTRYGGINGARDEILDA ÁRIÐ 2004</oddHeader>
    <oddFooter>&amp;R&amp;"Times New Roman,Regular"&amp;P</oddFooter>
  </headerFooter>
  <colBreaks count="1" manualBreakCount="1">
    <brk id="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G171"/>
  <sheetViews>
    <sheetView zoomScalePageLayoutView="0" workbookViewId="0" topLeftCell="A1">
      <pane xSplit="1" ySplit="6" topLeftCell="B7" activePane="bottomRight" state="frozen"/>
      <selection pane="topLeft" activeCell="BK79" sqref="BK79"/>
      <selection pane="topRight" activeCell="BK79" sqref="BK79"/>
      <selection pane="bottomLeft" activeCell="BK79" sqref="BK79"/>
      <selection pane="bottomRight" activeCell="A1" sqref="A1"/>
    </sheetView>
  </sheetViews>
  <sheetFormatPr defaultColWidth="9.140625" defaultRowHeight="11.25" customHeight="1" outlineLevelRow="1"/>
  <cols>
    <col min="1" max="1" width="30.7109375" style="147" customWidth="1"/>
    <col min="2" max="2" width="11.7109375" style="147" customWidth="1"/>
    <col min="3" max="3" width="9.7109375" style="147" customWidth="1"/>
    <col min="4" max="4" width="9.8515625" style="147" customWidth="1"/>
    <col min="5" max="5" width="9.421875" style="147" customWidth="1"/>
    <col min="6" max="7" width="11.140625" style="147" customWidth="1"/>
    <col min="8" max="14" width="9.8515625" style="147" customWidth="1"/>
    <col min="15" max="15" width="9.57421875" style="147" customWidth="1"/>
    <col min="16" max="18" width="8.7109375" style="147" customWidth="1"/>
    <col min="19" max="19" width="8.57421875" style="147" customWidth="1"/>
    <col min="20" max="20" width="9.8515625" style="147" customWidth="1"/>
    <col min="21" max="21" width="8.57421875" style="147" customWidth="1"/>
    <col min="22" max="22" width="8.421875" style="147" customWidth="1"/>
    <col min="23" max="23" width="10.00390625" style="147" customWidth="1"/>
    <col min="24" max="24" width="9.28125" style="147" customWidth="1"/>
    <col min="25" max="25" width="10.7109375" style="147" customWidth="1"/>
    <col min="26" max="30" width="11.421875" style="147" customWidth="1"/>
    <col min="31" max="31" width="10.140625" style="147" customWidth="1"/>
    <col min="32" max="33" width="10.57421875" style="147" customWidth="1"/>
    <col min="34" max="34" width="11.421875" style="147" customWidth="1"/>
    <col min="35" max="38" width="9.7109375" style="147" customWidth="1"/>
    <col min="39" max="39" width="9.00390625" style="147" customWidth="1"/>
    <col min="40" max="40" width="9.421875" style="147" customWidth="1"/>
    <col min="41" max="41" width="4.28125" style="147" customWidth="1"/>
    <col min="42" max="42" width="9.57421875" style="147" customWidth="1"/>
    <col min="43" max="43" width="12.28125" style="147" customWidth="1"/>
    <col min="44" max="44" width="3.00390625" style="147" customWidth="1"/>
    <col min="45" max="45" width="12.57421875" style="147" customWidth="1"/>
    <col min="46" max="46" width="12.421875" style="147" customWidth="1"/>
    <col min="47" max="47" width="2.57421875" style="147" customWidth="1"/>
    <col min="48" max="48" width="9.140625" style="147" customWidth="1"/>
    <col min="49" max="49" width="12.421875" style="147" bestFit="1" customWidth="1"/>
    <col min="50" max="16384" width="9.140625" style="147" customWidth="1"/>
  </cols>
  <sheetData>
    <row r="1" spans="1:47" ht="11.25" customHeight="1">
      <c r="A1" s="16"/>
      <c r="B1" s="358" t="s">
        <v>69</v>
      </c>
      <c r="C1" s="358"/>
      <c r="D1" s="358"/>
      <c r="E1" s="143" t="s">
        <v>69</v>
      </c>
      <c r="F1" s="358" t="s">
        <v>69</v>
      </c>
      <c r="G1" s="358"/>
      <c r="H1" s="358" t="s">
        <v>69</v>
      </c>
      <c r="I1" s="358" t="s">
        <v>69</v>
      </c>
      <c r="J1" s="358" t="s">
        <v>69</v>
      </c>
      <c r="K1" s="358" t="s">
        <v>70</v>
      </c>
      <c r="L1" s="358"/>
      <c r="M1" s="358" t="s">
        <v>69</v>
      </c>
      <c r="N1" s="358" t="s">
        <v>69</v>
      </c>
      <c r="O1" s="358" t="s">
        <v>73</v>
      </c>
      <c r="P1" s="358"/>
      <c r="Q1" s="358"/>
      <c r="R1" s="143" t="s">
        <v>71</v>
      </c>
      <c r="S1" s="363" t="s">
        <v>481</v>
      </c>
      <c r="T1" s="363"/>
      <c r="U1" s="363"/>
      <c r="V1" s="363"/>
      <c r="W1" s="358" t="s">
        <v>69</v>
      </c>
      <c r="X1" s="358"/>
      <c r="Y1" s="143" t="s">
        <v>72</v>
      </c>
      <c r="Z1" s="143" t="s">
        <v>69</v>
      </c>
      <c r="AA1" s="143" t="s">
        <v>69</v>
      </c>
      <c r="AB1" s="143" t="s">
        <v>69</v>
      </c>
      <c r="AC1" s="358" t="s">
        <v>69</v>
      </c>
      <c r="AD1" s="358"/>
      <c r="AE1" s="358" t="s">
        <v>69</v>
      </c>
      <c r="AF1" s="358"/>
      <c r="AG1" s="358"/>
      <c r="AH1" s="143" t="s">
        <v>69</v>
      </c>
      <c r="AI1" s="358" t="s">
        <v>76</v>
      </c>
      <c r="AJ1" s="358"/>
      <c r="AK1" s="358"/>
      <c r="AL1" s="358"/>
      <c r="AM1" s="143" t="s">
        <v>69</v>
      </c>
      <c r="AN1" s="143" t="s">
        <v>69</v>
      </c>
      <c r="AO1" s="143"/>
      <c r="AP1" s="144" t="s">
        <v>421</v>
      </c>
      <c r="AQ1" s="143"/>
      <c r="AR1" s="145"/>
      <c r="AS1" s="145"/>
      <c r="AT1" s="145"/>
      <c r="AU1" s="145"/>
    </row>
    <row r="2" spans="1:47" ht="11.25" customHeight="1">
      <c r="A2" s="148" t="s">
        <v>62</v>
      </c>
      <c r="B2" s="358" t="s">
        <v>81</v>
      </c>
      <c r="C2" s="358"/>
      <c r="D2" s="358"/>
      <c r="E2" s="143" t="s">
        <v>80</v>
      </c>
      <c r="F2" s="358" t="s">
        <v>82</v>
      </c>
      <c r="G2" s="358"/>
      <c r="H2" s="358" t="s">
        <v>84</v>
      </c>
      <c r="I2" s="358" t="s">
        <v>84</v>
      </c>
      <c r="J2" s="358" t="s">
        <v>84</v>
      </c>
      <c r="K2" s="358" t="s">
        <v>418</v>
      </c>
      <c r="L2" s="358" t="s">
        <v>83</v>
      </c>
      <c r="M2" s="358" t="s">
        <v>419</v>
      </c>
      <c r="N2" s="358" t="s">
        <v>85</v>
      </c>
      <c r="O2" s="358" t="s">
        <v>83</v>
      </c>
      <c r="P2" s="358" t="s">
        <v>83</v>
      </c>
      <c r="Q2" s="358" t="s">
        <v>83</v>
      </c>
      <c r="R2" s="143" t="s">
        <v>83</v>
      </c>
      <c r="S2" s="363" t="s">
        <v>95</v>
      </c>
      <c r="T2" s="363"/>
      <c r="U2" s="363"/>
      <c r="V2" s="363"/>
      <c r="W2" s="358" t="s">
        <v>87</v>
      </c>
      <c r="X2" s="358"/>
      <c r="Y2" s="143" t="s">
        <v>83</v>
      </c>
      <c r="Z2" s="143" t="s">
        <v>88</v>
      </c>
      <c r="AA2" s="143" t="s">
        <v>89</v>
      </c>
      <c r="AB2" s="143" t="s">
        <v>93</v>
      </c>
      <c r="AC2" s="358" t="s">
        <v>94</v>
      </c>
      <c r="AD2" s="358" t="s">
        <v>94</v>
      </c>
      <c r="AE2" s="358" t="s">
        <v>100</v>
      </c>
      <c r="AF2" s="358" t="s">
        <v>100</v>
      </c>
      <c r="AG2" s="358" t="s">
        <v>100</v>
      </c>
      <c r="AH2" s="143" t="s">
        <v>97</v>
      </c>
      <c r="AI2" s="358" t="s">
        <v>83</v>
      </c>
      <c r="AJ2" s="358" t="s">
        <v>83</v>
      </c>
      <c r="AK2" s="358"/>
      <c r="AL2" s="358" t="s">
        <v>83</v>
      </c>
      <c r="AM2" s="143" t="s">
        <v>105</v>
      </c>
      <c r="AN2" s="143" t="s">
        <v>109</v>
      </c>
      <c r="AO2" s="143"/>
      <c r="AP2" s="144" t="s">
        <v>407</v>
      </c>
      <c r="AQ2" s="143"/>
      <c r="AR2" s="145"/>
      <c r="AS2" s="145"/>
      <c r="AT2" s="145"/>
      <c r="AU2" s="145"/>
    </row>
    <row r="3" spans="1:47" ht="11.25" customHeight="1">
      <c r="A3" s="16"/>
      <c r="E3" s="143" t="s">
        <v>125</v>
      </c>
      <c r="K3" s="143"/>
      <c r="L3" s="143"/>
      <c r="M3" s="143"/>
      <c r="N3" s="143"/>
      <c r="O3" s="358" t="s">
        <v>99</v>
      </c>
      <c r="P3" s="358" t="s">
        <v>99</v>
      </c>
      <c r="Q3" s="358" t="s">
        <v>99</v>
      </c>
      <c r="R3" s="143" t="s">
        <v>124</v>
      </c>
      <c r="S3" s="55"/>
      <c r="T3" s="55"/>
      <c r="U3" s="55"/>
      <c r="V3" s="55"/>
      <c r="W3" s="358"/>
      <c r="X3" s="358"/>
      <c r="Y3" s="143" t="s">
        <v>99</v>
      </c>
      <c r="Z3" s="143" t="s">
        <v>123</v>
      </c>
      <c r="AA3" s="143" t="s">
        <v>126</v>
      </c>
      <c r="AB3" s="143" t="s">
        <v>128</v>
      </c>
      <c r="AC3" s="358" t="s">
        <v>378</v>
      </c>
      <c r="AD3" s="358" t="s">
        <v>378</v>
      </c>
      <c r="AE3" s="358" t="s">
        <v>139</v>
      </c>
      <c r="AF3" s="358" t="s">
        <v>139</v>
      </c>
      <c r="AG3" s="358" t="s">
        <v>139</v>
      </c>
      <c r="AH3" s="143" t="s">
        <v>377</v>
      </c>
      <c r="AI3" s="358" t="s">
        <v>99</v>
      </c>
      <c r="AJ3" s="358" t="s">
        <v>99</v>
      </c>
      <c r="AK3" s="358"/>
      <c r="AL3" s="358" t="s">
        <v>99</v>
      </c>
      <c r="AM3" s="143"/>
      <c r="AN3" s="143" t="s">
        <v>142</v>
      </c>
      <c r="AO3" s="143"/>
      <c r="AQ3" s="143"/>
      <c r="AR3" s="145"/>
      <c r="AS3" s="145"/>
      <c r="AT3" s="145"/>
      <c r="AU3" s="145"/>
    </row>
    <row r="4" spans="1:47" s="151" customFormat="1" ht="11.25" customHeight="1">
      <c r="A4" s="149"/>
      <c r="B4" s="361" t="s">
        <v>362</v>
      </c>
      <c r="C4" s="361"/>
      <c r="D4" s="361"/>
      <c r="E4" s="150" t="s">
        <v>155</v>
      </c>
      <c r="F4" s="361" t="s">
        <v>159</v>
      </c>
      <c r="G4" s="361"/>
      <c r="H4" s="361" t="s">
        <v>160</v>
      </c>
      <c r="I4" s="361" t="s">
        <v>160</v>
      </c>
      <c r="J4" s="361" t="s">
        <v>160</v>
      </c>
      <c r="K4" s="361" t="s">
        <v>163</v>
      </c>
      <c r="L4" s="361"/>
      <c r="M4" s="361" t="s">
        <v>164</v>
      </c>
      <c r="N4" s="361" t="s">
        <v>164</v>
      </c>
      <c r="O4" s="358" t="s">
        <v>165</v>
      </c>
      <c r="P4" s="358" t="s">
        <v>167</v>
      </c>
      <c r="Q4" s="358" t="s">
        <v>167</v>
      </c>
      <c r="R4" s="150" t="s">
        <v>166</v>
      </c>
      <c r="S4" s="365" t="s">
        <v>167</v>
      </c>
      <c r="T4" s="365"/>
      <c r="U4" s="365"/>
      <c r="V4" s="365"/>
      <c r="W4" s="358" t="s">
        <v>168</v>
      </c>
      <c r="X4" s="358" t="s">
        <v>168</v>
      </c>
      <c r="Y4" s="150" t="s">
        <v>170</v>
      </c>
      <c r="Z4" s="150" t="s">
        <v>172</v>
      </c>
      <c r="AA4" s="150" t="s">
        <v>173</v>
      </c>
      <c r="AB4" s="150" t="s">
        <v>174</v>
      </c>
      <c r="AC4" s="358" t="s">
        <v>177</v>
      </c>
      <c r="AD4" s="358" t="s">
        <v>177</v>
      </c>
      <c r="AE4" s="361" t="s">
        <v>179</v>
      </c>
      <c r="AF4" s="358" t="s">
        <v>184</v>
      </c>
      <c r="AG4" s="358" t="s">
        <v>184</v>
      </c>
      <c r="AH4" s="150" t="s">
        <v>180</v>
      </c>
      <c r="AI4" s="361" t="s">
        <v>181</v>
      </c>
      <c r="AJ4" s="358" t="s">
        <v>182</v>
      </c>
      <c r="AK4" s="358"/>
      <c r="AL4" s="358" t="s">
        <v>182</v>
      </c>
      <c r="AM4" s="150" t="s">
        <v>187</v>
      </c>
      <c r="AN4" s="150" t="s">
        <v>192</v>
      </c>
      <c r="AO4" s="143"/>
      <c r="AQ4" s="143"/>
      <c r="AR4" s="143"/>
      <c r="AS4" s="143"/>
      <c r="AT4" s="143"/>
      <c r="AU4" s="143"/>
    </row>
    <row r="5" spans="1:47" s="243" customFormat="1" ht="11.25" customHeight="1">
      <c r="A5" s="240"/>
      <c r="B5" s="240" t="s">
        <v>391</v>
      </c>
      <c r="C5" s="240" t="s">
        <v>392</v>
      </c>
      <c r="D5" s="240" t="s">
        <v>393</v>
      </c>
      <c r="E5" s="240"/>
      <c r="F5" s="240" t="s">
        <v>380</v>
      </c>
      <c r="G5" s="240" t="s">
        <v>381</v>
      </c>
      <c r="H5" s="240" t="s">
        <v>383</v>
      </c>
      <c r="I5" s="240" t="s">
        <v>384</v>
      </c>
      <c r="J5" s="240" t="s">
        <v>385</v>
      </c>
      <c r="K5" s="240" t="s">
        <v>363</v>
      </c>
      <c r="L5" s="240" t="s">
        <v>364</v>
      </c>
      <c r="M5" s="240" t="s">
        <v>366</v>
      </c>
      <c r="N5" s="240" t="s">
        <v>365</v>
      </c>
      <c r="O5" s="240" t="s">
        <v>383</v>
      </c>
      <c r="P5" s="240" t="s">
        <v>384</v>
      </c>
      <c r="Q5" s="240" t="s">
        <v>385</v>
      </c>
      <c r="R5" s="240"/>
      <c r="S5" s="240" t="s">
        <v>359</v>
      </c>
      <c r="T5" s="240" t="s">
        <v>360</v>
      </c>
      <c r="U5" s="240" t="s">
        <v>361</v>
      </c>
      <c r="V5" s="240" t="s">
        <v>386</v>
      </c>
      <c r="W5" s="240" t="s">
        <v>383</v>
      </c>
      <c r="X5" s="240" t="s">
        <v>384</v>
      </c>
      <c r="Y5" s="240"/>
      <c r="Z5" s="240"/>
      <c r="AA5" s="240"/>
      <c r="AB5" s="240"/>
      <c r="AC5" s="240" t="s">
        <v>366</v>
      </c>
      <c r="AD5" s="240" t="s">
        <v>365</v>
      </c>
      <c r="AE5" s="240" t="s">
        <v>387</v>
      </c>
      <c r="AF5" s="240" t="s">
        <v>388</v>
      </c>
      <c r="AG5" s="240" t="s">
        <v>389</v>
      </c>
      <c r="AH5" s="240"/>
      <c r="AI5" s="240" t="s">
        <v>510</v>
      </c>
      <c r="AJ5" s="240" t="s">
        <v>511</v>
      </c>
      <c r="AK5" s="240" t="s">
        <v>512</v>
      </c>
      <c r="AL5" s="240" t="s">
        <v>513</v>
      </c>
      <c r="AM5" s="240"/>
      <c r="AN5" s="240"/>
      <c r="AO5" s="250"/>
      <c r="AP5" s="251" t="s">
        <v>533</v>
      </c>
      <c r="AQ5" s="240"/>
      <c r="AR5" s="240"/>
      <c r="AS5" s="252"/>
      <c r="AT5" s="252"/>
      <c r="AU5" s="240"/>
    </row>
    <row r="6" spans="1:47" ht="11.25" customHeight="1">
      <c r="A6" s="154"/>
      <c r="E6" s="152"/>
      <c r="R6" s="152"/>
      <c r="Y6" s="152"/>
      <c r="Z6" s="152"/>
      <c r="AA6" s="152"/>
      <c r="AB6" s="152"/>
      <c r="AH6" s="152"/>
      <c r="AM6" s="152"/>
      <c r="AN6" s="152"/>
      <c r="AO6" s="16"/>
      <c r="AQ6" s="16"/>
      <c r="AR6" s="16"/>
      <c r="AS6" s="16"/>
      <c r="AT6" s="16"/>
      <c r="AU6" s="16"/>
    </row>
    <row r="7" spans="1:47" ht="16.5" customHeight="1">
      <c r="A7" s="178" t="s">
        <v>460</v>
      </c>
      <c r="E7" s="152"/>
      <c r="R7" s="152"/>
      <c r="Y7" s="152"/>
      <c r="Z7" s="152"/>
      <c r="AA7" s="152"/>
      <c r="AB7" s="152"/>
      <c r="AH7" s="152"/>
      <c r="AM7" s="152"/>
      <c r="AN7" s="152"/>
      <c r="AO7" s="16"/>
      <c r="AQ7" s="16"/>
      <c r="AR7" s="16"/>
      <c r="AS7" s="16"/>
      <c r="AT7" s="16"/>
      <c r="AU7" s="16"/>
    </row>
    <row r="8" spans="1:47" ht="16.5" customHeight="1">
      <c r="A8" s="178" t="s">
        <v>461</v>
      </c>
      <c r="E8" s="152"/>
      <c r="R8" s="152"/>
      <c r="Y8" s="152"/>
      <c r="Z8" s="152"/>
      <c r="AA8" s="152"/>
      <c r="AB8" s="152"/>
      <c r="AH8" s="152"/>
      <c r="AM8" s="152"/>
      <c r="AN8" s="152"/>
      <c r="AO8" s="16"/>
      <c r="AQ8" s="16"/>
      <c r="AR8" s="16"/>
      <c r="AS8" s="16"/>
      <c r="AT8" s="16"/>
      <c r="AU8" s="16"/>
    </row>
    <row r="9" spans="1:47" ht="11.25" customHeight="1" hidden="1" outlineLevel="1">
      <c r="A9" s="154" t="s">
        <v>264</v>
      </c>
      <c r="E9" s="152"/>
      <c r="R9" s="152"/>
      <c r="Y9" s="152"/>
      <c r="Z9" s="152"/>
      <c r="AA9" s="152"/>
      <c r="AB9" s="152"/>
      <c r="AH9" s="152"/>
      <c r="AM9" s="152"/>
      <c r="AN9" s="152"/>
      <c r="AO9" s="16"/>
      <c r="AQ9" s="16"/>
      <c r="AR9" s="16"/>
      <c r="AS9" s="16"/>
      <c r="AT9" s="16"/>
      <c r="AU9" s="16"/>
    </row>
    <row r="10" spans="1:50" ht="11.25" customHeight="1" hidden="1" outlineLevel="1">
      <c r="A10" s="155" t="s">
        <v>265</v>
      </c>
      <c r="B10" s="156">
        <v>270683</v>
      </c>
      <c r="C10" s="156">
        <v>94412</v>
      </c>
      <c r="D10" s="156">
        <v>38725</v>
      </c>
      <c r="E10" s="157">
        <v>198994</v>
      </c>
      <c r="F10" s="157">
        <v>29434.8</v>
      </c>
      <c r="G10" s="157">
        <v>36616.506</v>
      </c>
      <c r="H10" s="157">
        <v>15606</v>
      </c>
      <c r="I10" s="157">
        <v>1868</v>
      </c>
      <c r="J10" s="157">
        <v>3348</v>
      </c>
      <c r="K10" s="157">
        <v>10391</v>
      </c>
      <c r="L10" s="157">
        <v>178533</v>
      </c>
      <c r="M10" s="156">
        <v>11238</v>
      </c>
      <c r="N10" s="157">
        <v>68781</v>
      </c>
      <c r="O10" s="156">
        <v>960594</v>
      </c>
      <c r="P10" s="156">
        <v>54815</v>
      </c>
      <c r="Q10" s="156">
        <v>90072</v>
      </c>
      <c r="R10" s="157">
        <v>16212</v>
      </c>
      <c r="S10" s="157">
        <v>428154.901</v>
      </c>
      <c r="T10" s="157">
        <v>604148.275</v>
      </c>
      <c r="U10" s="157">
        <v>67480.701</v>
      </c>
      <c r="V10" s="157">
        <v>25891.274</v>
      </c>
      <c r="W10" s="157">
        <v>2876</v>
      </c>
      <c r="X10" s="157">
        <v>47568</v>
      </c>
      <c r="Y10" s="157">
        <v>44779</v>
      </c>
      <c r="Z10" s="157">
        <v>0</v>
      </c>
      <c r="AA10" s="157">
        <v>14774</v>
      </c>
      <c r="AB10" s="157">
        <v>162065</v>
      </c>
      <c r="AC10" s="157">
        <v>3416</v>
      </c>
      <c r="AD10" s="157">
        <v>5630</v>
      </c>
      <c r="AE10" s="157">
        <v>44357.199</v>
      </c>
      <c r="AF10" s="157">
        <v>5026.498</v>
      </c>
      <c r="AG10" s="157">
        <v>5800.585</v>
      </c>
      <c r="AH10" s="156">
        <v>1981</v>
      </c>
      <c r="AI10" s="157">
        <v>416248.413</v>
      </c>
      <c r="AJ10" s="157">
        <v>238865.032</v>
      </c>
      <c r="AK10" s="157">
        <v>58955.189</v>
      </c>
      <c r="AL10" s="157">
        <v>28483.064</v>
      </c>
      <c r="AM10" s="157">
        <v>0</v>
      </c>
      <c r="AN10" s="156">
        <v>23935</v>
      </c>
      <c r="AO10" s="157"/>
      <c r="AP10" s="147">
        <f>SUM(B10:AN10)</f>
        <v>4310758.437000001</v>
      </c>
      <c r="AQ10" s="16"/>
      <c r="AR10" s="16"/>
      <c r="AS10" s="16"/>
      <c r="AT10" s="16"/>
      <c r="AU10" s="157"/>
      <c r="AX10" s="16"/>
    </row>
    <row r="11" spans="1:50" ht="11.25" customHeight="1" hidden="1" outlineLevel="1">
      <c r="A11" s="155" t="s">
        <v>266</v>
      </c>
      <c r="B11" s="156">
        <v>146876</v>
      </c>
      <c r="C11" s="156">
        <v>44850</v>
      </c>
      <c r="D11" s="156">
        <v>19619</v>
      </c>
      <c r="E11" s="156">
        <v>488052</v>
      </c>
      <c r="F11" s="156">
        <v>22016.86</v>
      </c>
      <c r="G11" s="156">
        <v>206436.543</v>
      </c>
      <c r="H11" s="156">
        <v>20655</v>
      </c>
      <c r="I11" s="156">
        <v>2379</v>
      </c>
      <c r="J11" s="156">
        <v>1066</v>
      </c>
      <c r="K11" s="156">
        <v>12153</v>
      </c>
      <c r="L11" s="156">
        <v>208818</v>
      </c>
      <c r="M11" s="156">
        <v>21180</v>
      </c>
      <c r="N11" s="156">
        <v>89451</v>
      </c>
      <c r="O11" s="156">
        <v>1392909</v>
      </c>
      <c r="P11" s="156">
        <v>92121</v>
      </c>
      <c r="Q11" s="156">
        <v>107190</v>
      </c>
      <c r="R11" s="156">
        <v>33859</v>
      </c>
      <c r="S11" s="157">
        <v>473174.437</v>
      </c>
      <c r="T11" s="157">
        <v>776225.978</v>
      </c>
      <c r="U11" s="157">
        <v>62977.062</v>
      </c>
      <c r="V11" s="157">
        <v>78941.743</v>
      </c>
      <c r="W11" s="156">
        <v>2144</v>
      </c>
      <c r="X11" s="156">
        <v>91077</v>
      </c>
      <c r="Y11" s="156">
        <v>64172</v>
      </c>
      <c r="Z11" s="156">
        <v>26384</v>
      </c>
      <c r="AA11" s="156">
        <v>27548</v>
      </c>
      <c r="AB11" s="156">
        <v>0</v>
      </c>
      <c r="AC11" s="156">
        <v>3260</v>
      </c>
      <c r="AD11" s="156">
        <v>11980</v>
      </c>
      <c r="AE11" s="156">
        <v>13110.671</v>
      </c>
      <c r="AF11" s="156">
        <v>755.647</v>
      </c>
      <c r="AG11" s="156">
        <v>1032.864</v>
      </c>
      <c r="AH11" s="156">
        <v>21017</v>
      </c>
      <c r="AI11" s="156">
        <v>403724.328</v>
      </c>
      <c r="AJ11" s="156">
        <v>276962.966</v>
      </c>
      <c r="AK11" s="156">
        <v>54993.538</v>
      </c>
      <c r="AL11" s="156">
        <v>21896.112</v>
      </c>
      <c r="AM11" s="156">
        <v>4831</v>
      </c>
      <c r="AN11" s="156">
        <v>30803</v>
      </c>
      <c r="AO11" s="157"/>
      <c r="AP11" s="147">
        <f aca="true" t="shared" si="0" ref="AP11:AP66">SUM(B11:AN11)</f>
        <v>5356642.748999999</v>
      </c>
      <c r="AQ11" s="16"/>
      <c r="AR11" s="16"/>
      <c r="AS11" s="16"/>
      <c r="AT11" s="16"/>
      <c r="AU11" s="157"/>
      <c r="AW11" s="16"/>
      <c r="AX11" s="16"/>
    </row>
    <row r="12" spans="1:47" ht="11.25" customHeight="1" hidden="1" outlineLevel="1">
      <c r="A12" s="155" t="s">
        <v>267</v>
      </c>
      <c r="B12" s="156">
        <v>-52126</v>
      </c>
      <c r="C12" s="156">
        <v>40648</v>
      </c>
      <c r="D12" s="156">
        <v>3527</v>
      </c>
      <c r="E12" s="156">
        <v>0</v>
      </c>
      <c r="F12" s="156">
        <v>-1180.5</v>
      </c>
      <c r="G12" s="156">
        <v>-3059.6</v>
      </c>
      <c r="H12" s="156">
        <v>-2859</v>
      </c>
      <c r="I12" s="156">
        <v>684</v>
      </c>
      <c r="J12" s="156">
        <v>893</v>
      </c>
      <c r="K12" s="156">
        <v>2623</v>
      </c>
      <c r="L12" s="156">
        <v>45069</v>
      </c>
      <c r="M12" s="156">
        <v>-1085</v>
      </c>
      <c r="N12" s="156">
        <v>-1770</v>
      </c>
      <c r="O12" s="156">
        <v>-732411</v>
      </c>
      <c r="P12" s="156">
        <v>179881</v>
      </c>
      <c r="Q12" s="156">
        <v>51466</v>
      </c>
      <c r="R12" s="156">
        <v>0</v>
      </c>
      <c r="S12" s="157">
        <v>-71844.672</v>
      </c>
      <c r="T12" s="157">
        <v>-80678.741</v>
      </c>
      <c r="U12" s="157">
        <v>255714.306</v>
      </c>
      <c r="V12" s="157">
        <v>165416.143</v>
      </c>
      <c r="W12" s="156">
        <v>-5146</v>
      </c>
      <c r="X12" s="156">
        <v>2100</v>
      </c>
      <c r="Y12" s="156">
        <v>0</v>
      </c>
      <c r="Z12" s="156">
        <v>-93</v>
      </c>
      <c r="AA12" s="156">
        <v>441</v>
      </c>
      <c r="AB12" s="156">
        <v>0</v>
      </c>
      <c r="AC12" s="156">
        <v>-28</v>
      </c>
      <c r="AD12" s="156">
        <v>-60</v>
      </c>
      <c r="AE12" s="156">
        <v>-9099.503</v>
      </c>
      <c r="AF12" s="156">
        <v>835.492</v>
      </c>
      <c r="AG12" s="156">
        <v>425.395</v>
      </c>
      <c r="AH12" s="156">
        <v>-2881</v>
      </c>
      <c r="AI12" s="156">
        <v>-5360.314</v>
      </c>
      <c r="AJ12" s="156">
        <v>-23946.77</v>
      </c>
      <c r="AK12" s="156">
        <v>-72622.331</v>
      </c>
      <c r="AL12" s="156">
        <v>0</v>
      </c>
      <c r="AM12" s="157">
        <v>0</v>
      </c>
      <c r="AN12" s="157">
        <v>0</v>
      </c>
      <c r="AO12" s="157"/>
      <c r="AP12" s="147">
        <f t="shared" si="0"/>
        <v>-316528.0950000001</v>
      </c>
      <c r="AQ12" s="16"/>
      <c r="AR12" s="16"/>
      <c r="AS12" s="16"/>
      <c r="AT12" s="16"/>
      <c r="AU12" s="157"/>
    </row>
    <row r="13" spans="1:47" ht="11.25" customHeight="1" hidden="1" outlineLevel="1">
      <c r="A13" s="155" t="s">
        <v>268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7">
        <v>63034</v>
      </c>
      <c r="P13" s="157">
        <v>1372</v>
      </c>
      <c r="Q13" s="157">
        <v>378</v>
      </c>
      <c r="R13" s="156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56">
        <v>0</v>
      </c>
      <c r="AF13" s="156">
        <v>0</v>
      </c>
      <c r="AG13" s="156">
        <v>0</v>
      </c>
      <c r="AH13" s="147">
        <v>0</v>
      </c>
      <c r="AI13" s="147">
        <v>-202197.036</v>
      </c>
      <c r="AJ13" s="147">
        <v>144640.822</v>
      </c>
      <c r="AK13" s="147">
        <v>57556.214</v>
      </c>
      <c r="AL13" s="147">
        <v>106985.27</v>
      </c>
      <c r="AM13" s="157">
        <v>0</v>
      </c>
      <c r="AN13" s="157">
        <v>0</v>
      </c>
      <c r="AO13" s="157"/>
      <c r="AP13" s="147">
        <f t="shared" si="0"/>
        <v>171769.27</v>
      </c>
      <c r="AQ13" s="16"/>
      <c r="AR13" s="16"/>
      <c r="AS13" s="16"/>
      <c r="AT13" s="16"/>
      <c r="AU13" s="157"/>
    </row>
    <row r="14" spans="1:47" ht="11.25" customHeight="1" collapsed="1">
      <c r="A14" s="160" t="s">
        <v>399</v>
      </c>
      <c r="B14" s="16">
        <f aca="true" t="shared" si="1" ref="B14:AN14">SUM(B10:B13)</f>
        <v>365433</v>
      </c>
      <c r="C14" s="16">
        <f t="shared" si="1"/>
        <v>179910</v>
      </c>
      <c r="D14" s="16">
        <f t="shared" si="1"/>
        <v>61871</v>
      </c>
      <c r="E14" s="16">
        <f t="shared" si="1"/>
        <v>687046</v>
      </c>
      <c r="F14" s="16">
        <f t="shared" si="1"/>
        <v>50271.16</v>
      </c>
      <c r="G14" s="16">
        <f t="shared" si="1"/>
        <v>239993.449</v>
      </c>
      <c r="H14" s="16">
        <f t="shared" si="1"/>
        <v>33402</v>
      </c>
      <c r="I14" s="16">
        <f t="shared" si="1"/>
        <v>4931</v>
      </c>
      <c r="J14" s="16">
        <f t="shared" si="1"/>
        <v>5307</v>
      </c>
      <c r="K14" s="16">
        <f t="shared" si="1"/>
        <v>25167</v>
      </c>
      <c r="L14" s="16">
        <f t="shared" si="1"/>
        <v>432420</v>
      </c>
      <c r="M14" s="16">
        <f t="shared" si="1"/>
        <v>31333</v>
      </c>
      <c r="N14" s="16">
        <f t="shared" si="1"/>
        <v>156462</v>
      </c>
      <c r="O14" s="16">
        <f>SUM(O10:O13)</f>
        <v>1684126</v>
      </c>
      <c r="P14" s="16">
        <f>SUM(P10:P13)</f>
        <v>328189</v>
      </c>
      <c r="Q14" s="16">
        <f>SUM(Q10:Q13)</f>
        <v>249106</v>
      </c>
      <c r="R14" s="16">
        <f t="shared" si="1"/>
        <v>50071</v>
      </c>
      <c r="S14" s="16">
        <f t="shared" si="1"/>
        <v>829484.666</v>
      </c>
      <c r="T14" s="16">
        <f t="shared" si="1"/>
        <v>1299695.512</v>
      </c>
      <c r="U14" s="16">
        <f t="shared" si="1"/>
        <v>386172.069</v>
      </c>
      <c r="V14" s="16">
        <f t="shared" si="1"/>
        <v>270249.16000000003</v>
      </c>
      <c r="W14" s="16">
        <f t="shared" si="1"/>
        <v>-126</v>
      </c>
      <c r="X14" s="16">
        <f t="shared" si="1"/>
        <v>140745</v>
      </c>
      <c r="Y14" s="16">
        <f t="shared" si="1"/>
        <v>108951</v>
      </c>
      <c r="Z14" s="16">
        <f t="shared" si="1"/>
        <v>26291</v>
      </c>
      <c r="AA14" s="16">
        <f t="shared" si="1"/>
        <v>42763</v>
      </c>
      <c r="AB14" s="16">
        <f t="shared" si="1"/>
        <v>162065</v>
      </c>
      <c r="AC14" s="16">
        <f t="shared" si="1"/>
        <v>6648</v>
      </c>
      <c r="AD14" s="16">
        <f t="shared" si="1"/>
        <v>17550</v>
      </c>
      <c r="AE14" s="16">
        <f>SUM(AE10:AE13)</f>
        <v>48368.367</v>
      </c>
      <c r="AF14" s="16">
        <f>SUM(AF10:AF13)</f>
        <v>6617.637</v>
      </c>
      <c r="AG14" s="16">
        <f>SUM(AG10:AG13)</f>
        <v>7258.844000000001</v>
      </c>
      <c r="AH14" s="16">
        <f t="shared" si="1"/>
        <v>20117</v>
      </c>
      <c r="AI14" s="16">
        <f t="shared" si="1"/>
        <v>612415.391</v>
      </c>
      <c r="AJ14" s="16">
        <f t="shared" si="1"/>
        <v>636522.05</v>
      </c>
      <c r="AK14" s="16">
        <f t="shared" si="1"/>
        <v>98882.60999999999</v>
      </c>
      <c r="AL14" s="16">
        <f t="shared" si="1"/>
        <v>157364.446</v>
      </c>
      <c r="AM14" s="16">
        <f t="shared" si="1"/>
        <v>4831</v>
      </c>
      <c r="AN14" s="16">
        <f t="shared" si="1"/>
        <v>54738</v>
      </c>
      <c r="AO14" s="16"/>
      <c r="AP14" s="147">
        <f t="shared" si="0"/>
        <v>9522642.361000001</v>
      </c>
      <c r="AQ14" s="16"/>
      <c r="AR14" s="16"/>
      <c r="AS14" s="16"/>
      <c r="AT14" s="16"/>
      <c r="AU14" s="16"/>
    </row>
    <row r="15" spans="1:46" ht="11.25" customHeight="1">
      <c r="A15" s="160"/>
      <c r="B15" s="158"/>
      <c r="C15" s="158"/>
      <c r="D15" s="156"/>
      <c r="E15" s="159"/>
      <c r="F15" s="159"/>
      <c r="G15" s="159"/>
      <c r="H15" s="159"/>
      <c r="I15" s="159"/>
      <c r="J15" s="159"/>
      <c r="K15" s="159"/>
      <c r="L15" s="159"/>
      <c r="M15" s="16"/>
      <c r="N15" s="16"/>
      <c r="O15" s="159"/>
      <c r="P15" s="159"/>
      <c r="Q15" s="159"/>
      <c r="R15" s="159"/>
      <c r="S15" s="157"/>
      <c r="T15" s="157"/>
      <c r="U15" s="157"/>
      <c r="V15" s="157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Q15" s="16"/>
      <c r="AR15" s="16"/>
      <c r="AS15" s="16"/>
      <c r="AT15" s="16"/>
    </row>
    <row r="16" spans="1:46" ht="11.25" customHeight="1" hidden="1" outlineLevel="1">
      <c r="A16" s="160" t="s">
        <v>270</v>
      </c>
      <c r="B16" s="158"/>
      <c r="C16" s="158"/>
      <c r="D16" s="156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7"/>
      <c r="T16" s="157"/>
      <c r="U16" s="157"/>
      <c r="V16" s="157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Q16" s="16"/>
      <c r="AR16" s="16"/>
      <c r="AS16" s="16"/>
      <c r="AT16" s="16"/>
    </row>
    <row r="17" spans="1:47" ht="11.25" customHeight="1" hidden="1" outlineLevel="1">
      <c r="A17" s="161" t="s">
        <v>271</v>
      </c>
      <c r="B17" s="156">
        <v>9740</v>
      </c>
      <c r="C17" s="156">
        <v>3305</v>
      </c>
      <c r="D17" s="156">
        <v>14048</v>
      </c>
      <c r="E17" s="156">
        <v>19746</v>
      </c>
      <c r="F17" s="156">
        <v>1894.532</v>
      </c>
      <c r="G17" s="156">
        <v>6927.2</v>
      </c>
      <c r="H17" s="156">
        <v>598</v>
      </c>
      <c r="I17" s="156">
        <v>18</v>
      </c>
      <c r="J17" s="156">
        <v>0</v>
      </c>
      <c r="K17" s="156">
        <v>2381</v>
      </c>
      <c r="L17" s="156">
        <v>11804</v>
      </c>
      <c r="M17" s="156">
        <v>8814</v>
      </c>
      <c r="N17" s="156">
        <v>586</v>
      </c>
      <c r="O17" s="156">
        <v>146766</v>
      </c>
      <c r="P17" s="156">
        <v>25208.4</v>
      </c>
      <c r="Q17" s="156">
        <v>161749</v>
      </c>
      <c r="R17" s="156">
        <v>636</v>
      </c>
      <c r="S17" s="157">
        <v>5091.641</v>
      </c>
      <c r="T17" s="157">
        <v>97092.779</v>
      </c>
      <c r="U17" s="157">
        <v>49773.807</v>
      </c>
      <c r="V17" s="157">
        <v>46495.146</v>
      </c>
      <c r="W17" s="156">
        <v>0</v>
      </c>
      <c r="X17" s="156">
        <v>0</v>
      </c>
      <c r="Y17" s="156">
        <v>34382</v>
      </c>
      <c r="Z17" s="156">
        <v>68</v>
      </c>
      <c r="AA17" s="156">
        <v>0</v>
      </c>
      <c r="AB17" s="156">
        <v>190</v>
      </c>
      <c r="AC17" s="156">
        <v>175</v>
      </c>
      <c r="AD17" s="156">
        <v>0</v>
      </c>
      <c r="AE17" s="156">
        <v>141</v>
      </c>
      <c r="AF17" s="156">
        <v>1290</v>
      </c>
      <c r="AG17" s="156">
        <v>4010.168</v>
      </c>
      <c r="AH17" s="156">
        <v>0</v>
      </c>
      <c r="AI17" s="156">
        <v>5350.671</v>
      </c>
      <c r="AJ17" s="156">
        <v>19032.569</v>
      </c>
      <c r="AK17" s="156">
        <v>69191.704</v>
      </c>
      <c r="AL17" s="156">
        <v>3351.03</v>
      </c>
      <c r="AM17" s="156">
        <v>0</v>
      </c>
      <c r="AN17" s="156">
        <v>37152</v>
      </c>
      <c r="AO17" s="157"/>
      <c r="AP17" s="147">
        <f t="shared" si="0"/>
        <v>787008.6469999999</v>
      </c>
      <c r="AQ17" s="16"/>
      <c r="AR17" s="16"/>
      <c r="AS17" s="16"/>
      <c r="AT17" s="16"/>
      <c r="AU17" s="157"/>
    </row>
    <row r="18" spans="1:47" ht="11.25" customHeight="1" hidden="1" outlineLevel="1">
      <c r="A18" s="161" t="s">
        <v>272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7">
        <v>0</v>
      </c>
      <c r="P18" s="157">
        <v>0</v>
      </c>
      <c r="Q18" s="157">
        <v>0</v>
      </c>
      <c r="R18" s="156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</v>
      </c>
      <c r="AL18" s="156">
        <v>0</v>
      </c>
      <c r="AM18" s="157">
        <v>0</v>
      </c>
      <c r="AN18" s="157">
        <v>0</v>
      </c>
      <c r="AO18" s="157"/>
      <c r="AP18" s="147">
        <f t="shared" si="0"/>
        <v>0</v>
      </c>
      <c r="AQ18" s="16"/>
      <c r="AR18" s="16"/>
      <c r="AS18" s="16"/>
      <c r="AT18" s="16"/>
      <c r="AU18" s="157"/>
    </row>
    <row r="19" spans="1:47" ht="11.25" customHeight="1" hidden="1" outlineLevel="1">
      <c r="A19" s="161" t="s">
        <v>273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7">
        <v>0</v>
      </c>
      <c r="P19" s="157">
        <v>0</v>
      </c>
      <c r="Q19" s="157">
        <v>0</v>
      </c>
      <c r="R19" s="156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7">
        <v>0</v>
      </c>
      <c r="AN19" s="157">
        <v>0</v>
      </c>
      <c r="AO19" s="157"/>
      <c r="AP19" s="147">
        <f t="shared" si="0"/>
        <v>0</v>
      </c>
      <c r="AQ19" s="16"/>
      <c r="AR19" s="16"/>
      <c r="AS19" s="16"/>
      <c r="AT19" s="16"/>
      <c r="AU19" s="157"/>
    </row>
    <row r="20" spans="1:47" ht="11.25" customHeight="1" hidden="1" outlineLevel="1">
      <c r="A20" s="161" t="s">
        <v>274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7">
        <v>0</v>
      </c>
      <c r="P20" s="157">
        <v>0</v>
      </c>
      <c r="Q20" s="157">
        <v>0</v>
      </c>
      <c r="R20" s="156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0</v>
      </c>
      <c r="AL20" s="156">
        <v>0</v>
      </c>
      <c r="AM20" s="157">
        <v>0</v>
      </c>
      <c r="AN20" s="157">
        <v>0</v>
      </c>
      <c r="AO20" s="157"/>
      <c r="AP20" s="147">
        <f t="shared" si="0"/>
        <v>0</v>
      </c>
      <c r="AQ20" s="16"/>
      <c r="AR20" s="16"/>
      <c r="AS20" s="16"/>
      <c r="AT20" s="16"/>
      <c r="AU20" s="157"/>
    </row>
    <row r="21" spans="1:47" ht="11.25" customHeight="1" collapsed="1">
      <c r="A21" s="160" t="s">
        <v>400</v>
      </c>
      <c r="B21" s="16">
        <f aca="true" t="shared" si="2" ref="B21:AN21">SUM(B17:B20)</f>
        <v>9740</v>
      </c>
      <c r="C21" s="16">
        <f t="shared" si="2"/>
        <v>3305</v>
      </c>
      <c r="D21" s="16">
        <f t="shared" si="2"/>
        <v>14048</v>
      </c>
      <c r="E21" s="16">
        <f t="shared" si="2"/>
        <v>19746</v>
      </c>
      <c r="F21" s="16">
        <f t="shared" si="2"/>
        <v>1894.532</v>
      </c>
      <c r="G21" s="16">
        <f t="shared" si="2"/>
        <v>6927.2</v>
      </c>
      <c r="H21" s="16">
        <f t="shared" si="2"/>
        <v>598</v>
      </c>
      <c r="I21" s="16">
        <f t="shared" si="2"/>
        <v>18</v>
      </c>
      <c r="J21" s="16">
        <f t="shared" si="2"/>
        <v>0</v>
      </c>
      <c r="K21" s="16">
        <f t="shared" si="2"/>
        <v>2381</v>
      </c>
      <c r="L21" s="16">
        <f t="shared" si="2"/>
        <v>11804</v>
      </c>
      <c r="M21" s="16">
        <f t="shared" si="2"/>
        <v>8814</v>
      </c>
      <c r="N21" s="16">
        <f t="shared" si="2"/>
        <v>586</v>
      </c>
      <c r="O21" s="16">
        <f>SUM(O17:O20)</f>
        <v>146766</v>
      </c>
      <c r="P21" s="16">
        <f>SUM(P17:P20)</f>
        <v>25208.4</v>
      </c>
      <c r="Q21" s="16">
        <f>SUM(Q17:Q20)</f>
        <v>161749</v>
      </c>
      <c r="R21" s="16">
        <f t="shared" si="2"/>
        <v>636</v>
      </c>
      <c r="S21" s="16">
        <f t="shared" si="2"/>
        <v>5091.641</v>
      </c>
      <c r="T21" s="16">
        <f t="shared" si="2"/>
        <v>97092.779</v>
      </c>
      <c r="U21" s="16">
        <f t="shared" si="2"/>
        <v>49773.807</v>
      </c>
      <c r="V21" s="16">
        <f t="shared" si="2"/>
        <v>46495.146</v>
      </c>
      <c r="W21" s="16">
        <f t="shared" si="2"/>
        <v>0</v>
      </c>
      <c r="X21" s="16">
        <f t="shared" si="2"/>
        <v>0</v>
      </c>
      <c r="Y21" s="16">
        <f t="shared" si="2"/>
        <v>34382</v>
      </c>
      <c r="Z21" s="16">
        <f t="shared" si="2"/>
        <v>68</v>
      </c>
      <c r="AA21" s="16">
        <f t="shared" si="2"/>
        <v>0</v>
      </c>
      <c r="AB21" s="16">
        <f t="shared" si="2"/>
        <v>190</v>
      </c>
      <c r="AC21" s="16">
        <f t="shared" si="2"/>
        <v>175</v>
      </c>
      <c r="AD21" s="16">
        <f t="shared" si="2"/>
        <v>0</v>
      </c>
      <c r="AE21" s="16">
        <f>SUM(AE17:AE20)</f>
        <v>141</v>
      </c>
      <c r="AF21" s="16">
        <f>SUM(AF17:AF20)</f>
        <v>1290</v>
      </c>
      <c r="AG21" s="16">
        <f>SUM(AG17:AG20)</f>
        <v>4010.168</v>
      </c>
      <c r="AH21" s="16">
        <f t="shared" si="2"/>
        <v>0</v>
      </c>
      <c r="AI21" s="16">
        <f t="shared" si="2"/>
        <v>5350.671</v>
      </c>
      <c r="AJ21" s="16">
        <f t="shared" si="2"/>
        <v>19032.569</v>
      </c>
      <c r="AK21" s="16">
        <f t="shared" si="2"/>
        <v>69191.704</v>
      </c>
      <c r="AL21" s="16">
        <f t="shared" si="2"/>
        <v>3351.03</v>
      </c>
      <c r="AM21" s="16">
        <f t="shared" si="2"/>
        <v>0</v>
      </c>
      <c r="AN21" s="16">
        <f t="shared" si="2"/>
        <v>37152</v>
      </c>
      <c r="AO21" s="16"/>
      <c r="AP21" s="147">
        <f t="shared" si="0"/>
        <v>787008.6469999999</v>
      </c>
      <c r="AQ21" s="16"/>
      <c r="AR21" s="16"/>
      <c r="AS21" s="16"/>
      <c r="AT21" s="16"/>
      <c r="AU21" s="16"/>
    </row>
    <row r="22" spans="1:47" ht="11.25" customHeight="1">
      <c r="A22" s="160"/>
      <c r="B22" s="158"/>
      <c r="C22" s="158"/>
      <c r="D22" s="156"/>
      <c r="E22" s="159"/>
      <c r="F22" s="159"/>
      <c r="G22" s="159"/>
      <c r="H22" s="159"/>
      <c r="I22" s="159"/>
      <c r="J22" s="159"/>
      <c r="K22" s="159"/>
      <c r="L22" s="159"/>
      <c r="M22" s="16"/>
      <c r="N22" s="16"/>
      <c r="O22" s="159"/>
      <c r="P22" s="159"/>
      <c r="Q22" s="159"/>
      <c r="R22" s="159"/>
      <c r="S22" s="157"/>
      <c r="T22" s="157"/>
      <c r="U22" s="157"/>
      <c r="V22" s="157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Q22" s="16"/>
      <c r="AR22" s="16"/>
      <c r="AS22" s="16"/>
      <c r="AT22" s="16"/>
      <c r="AU22" s="16"/>
    </row>
    <row r="23" spans="1:46" ht="11.25" customHeight="1" hidden="1" outlineLevel="1">
      <c r="A23" s="160" t="s">
        <v>276</v>
      </c>
      <c r="B23" s="158"/>
      <c r="C23" s="158"/>
      <c r="D23" s="156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7"/>
      <c r="T23" s="157"/>
      <c r="U23" s="157"/>
      <c r="V23" s="157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Q23" s="16"/>
      <c r="AR23" s="16"/>
      <c r="AS23" s="16"/>
      <c r="AT23" s="16"/>
    </row>
    <row r="24" spans="1:47" ht="11.25" customHeight="1" hidden="1" outlineLevel="1">
      <c r="A24" s="161" t="s">
        <v>277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7">
        <v>0</v>
      </c>
      <c r="P24" s="157">
        <v>0</v>
      </c>
      <c r="Q24" s="157">
        <v>0</v>
      </c>
      <c r="R24" s="156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0</v>
      </c>
      <c r="AK24" s="156">
        <v>0</v>
      </c>
      <c r="AL24" s="156">
        <v>0</v>
      </c>
      <c r="AM24" s="157">
        <v>0</v>
      </c>
      <c r="AN24" s="157">
        <v>0</v>
      </c>
      <c r="AO24" s="157"/>
      <c r="AP24" s="147">
        <f t="shared" si="0"/>
        <v>0</v>
      </c>
      <c r="AQ24" s="16"/>
      <c r="AR24" s="16"/>
      <c r="AS24" s="16"/>
      <c r="AT24" s="16"/>
      <c r="AU24" s="157"/>
    </row>
    <row r="25" spans="1:47" ht="11.25" customHeight="1" hidden="1" outlineLevel="1">
      <c r="A25" s="161" t="s">
        <v>278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7">
        <v>0</v>
      </c>
      <c r="P25" s="157">
        <v>0</v>
      </c>
      <c r="Q25" s="157">
        <v>0</v>
      </c>
      <c r="R25" s="156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  <c r="AL25" s="156">
        <v>0</v>
      </c>
      <c r="AM25" s="157">
        <v>0</v>
      </c>
      <c r="AN25" s="157">
        <v>0</v>
      </c>
      <c r="AO25" s="157"/>
      <c r="AP25" s="147">
        <f t="shared" si="0"/>
        <v>0</v>
      </c>
      <c r="AQ25" s="16"/>
      <c r="AR25" s="16"/>
      <c r="AS25" s="16"/>
      <c r="AT25" s="16"/>
      <c r="AU25" s="157"/>
    </row>
    <row r="26" spans="1:47" ht="11.25" customHeight="1" hidden="1" outlineLevel="1">
      <c r="A26" s="161" t="s">
        <v>279</v>
      </c>
      <c r="B26" s="156">
        <v>76828</v>
      </c>
      <c r="C26" s="156">
        <v>5260</v>
      </c>
      <c r="D26" s="156">
        <v>0</v>
      </c>
      <c r="E26" s="156">
        <v>200379</v>
      </c>
      <c r="F26" s="156">
        <v>24844.7</v>
      </c>
      <c r="G26" s="156">
        <v>21885.11</v>
      </c>
      <c r="H26" s="156">
        <v>-194</v>
      </c>
      <c r="I26" s="156">
        <v>-3</v>
      </c>
      <c r="J26" s="156">
        <v>0</v>
      </c>
      <c r="K26" s="156">
        <v>0</v>
      </c>
      <c r="L26" s="156">
        <v>0</v>
      </c>
      <c r="M26" s="156">
        <v>40228</v>
      </c>
      <c r="N26" s="156">
        <v>117529</v>
      </c>
      <c r="O26" s="156">
        <v>882141</v>
      </c>
      <c r="P26" s="156">
        <v>20675</v>
      </c>
      <c r="Q26" s="157">
        <v>0</v>
      </c>
      <c r="R26" s="156">
        <v>0</v>
      </c>
      <c r="S26" s="157">
        <v>-2063.579</v>
      </c>
      <c r="T26" s="157">
        <v>219286.259</v>
      </c>
      <c r="U26" s="157">
        <v>-653.031</v>
      </c>
      <c r="V26" s="157">
        <v>0</v>
      </c>
      <c r="W26" s="157">
        <v>0</v>
      </c>
      <c r="X26" s="157">
        <v>0</v>
      </c>
      <c r="Y26" s="156">
        <v>0</v>
      </c>
      <c r="Z26" s="156">
        <v>-52</v>
      </c>
      <c r="AA26" s="156">
        <v>0</v>
      </c>
      <c r="AB26" s="156">
        <v>191</v>
      </c>
      <c r="AC26" s="156">
        <v>0</v>
      </c>
      <c r="AD26" s="156">
        <v>0</v>
      </c>
      <c r="AE26" s="156">
        <v>603</v>
      </c>
      <c r="AF26" s="156">
        <v>135</v>
      </c>
      <c r="AG26" s="156">
        <v>0</v>
      </c>
      <c r="AH26" s="156">
        <v>0</v>
      </c>
      <c r="AI26" s="156">
        <v>4633.509</v>
      </c>
      <c r="AJ26" s="156">
        <v>4474.476</v>
      </c>
      <c r="AK26" s="156">
        <v>246.252</v>
      </c>
      <c r="AL26" s="156">
        <v>0</v>
      </c>
      <c r="AM26" s="157">
        <v>0</v>
      </c>
      <c r="AN26" s="156">
        <v>698</v>
      </c>
      <c r="AO26" s="157"/>
      <c r="AP26" s="147">
        <f t="shared" si="0"/>
        <v>1617071.6960000005</v>
      </c>
      <c r="AQ26" s="16"/>
      <c r="AR26" s="16"/>
      <c r="AS26" s="16"/>
      <c r="AT26" s="16"/>
      <c r="AU26" s="157"/>
    </row>
    <row r="27" spans="1:47" ht="11.25" customHeight="1" hidden="1" outlineLevel="1">
      <c r="A27" s="161" t="s">
        <v>280</v>
      </c>
      <c r="B27" s="158">
        <v>0</v>
      </c>
      <c r="C27" s="158">
        <v>0</v>
      </c>
      <c r="D27" s="158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7">
        <v>0</v>
      </c>
      <c r="P27" s="157">
        <v>0</v>
      </c>
      <c r="Q27" s="157">
        <v>0</v>
      </c>
      <c r="R27" s="156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6">
        <v>0</v>
      </c>
      <c r="AM27" s="157">
        <v>0</v>
      </c>
      <c r="AN27" s="157">
        <v>0</v>
      </c>
      <c r="AO27" s="157"/>
      <c r="AP27" s="147">
        <f t="shared" si="0"/>
        <v>0</v>
      </c>
      <c r="AQ27" s="16"/>
      <c r="AR27" s="16"/>
      <c r="AS27" s="16"/>
      <c r="AT27" s="16"/>
      <c r="AU27" s="157"/>
    </row>
    <row r="28" spans="1:47" ht="11.25" customHeight="1" hidden="1" outlineLevel="1">
      <c r="A28" s="161" t="s">
        <v>281</v>
      </c>
      <c r="B28" s="156">
        <v>209030</v>
      </c>
      <c r="C28" s="156">
        <v>55940</v>
      </c>
      <c r="D28" s="156">
        <v>23345</v>
      </c>
      <c r="E28" s="156">
        <v>175562</v>
      </c>
      <c r="F28" s="156">
        <v>19980.711</v>
      </c>
      <c r="G28" s="156">
        <v>53840.6</v>
      </c>
      <c r="H28" s="156">
        <v>16104</v>
      </c>
      <c r="I28" s="156">
        <v>1099</v>
      </c>
      <c r="J28" s="156">
        <v>1878</v>
      </c>
      <c r="K28" s="156">
        <v>20084</v>
      </c>
      <c r="L28" s="156">
        <v>129161</v>
      </c>
      <c r="M28" s="156">
        <v>35695</v>
      </c>
      <c r="N28" s="156">
        <v>104285</v>
      </c>
      <c r="O28" s="156">
        <v>2127311</v>
      </c>
      <c r="P28" s="156">
        <v>172597</v>
      </c>
      <c r="Q28" s="156">
        <v>335261</v>
      </c>
      <c r="R28" s="156">
        <v>18378</v>
      </c>
      <c r="S28" s="157">
        <v>394969</v>
      </c>
      <c r="T28" s="157">
        <v>1839614</v>
      </c>
      <c r="U28" s="157">
        <v>154438</v>
      </c>
      <c r="V28" s="157">
        <v>78101</v>
      </c>
      <c r="W28" s="157">
        <v>12817</v>
      </c>
      <c r="X28" s="157">
        <v>35333</v>
      </c>
      <c r="Y28" s="156">
        <v>0</v>
      </c>
      <c r="Z28" s="156">
        <v>4294</v>
      </c>
      <c r="AA28" s="156">
        <v>35525</v>
      </c>
      <c r="AB28" s="156">
        <v>74412</v>
      </c>
      <c r="AC28" s="156">
        <v>2773</v>
      </c>
      <c r="AD28" s="156">
        <v>8409</v>
      </c>
      <c r="AE28" s="156">
        <v>35795</v>
      </c>
      <c r="AF28" s="156">
        <v>5515</v>
      </c>
      <c r="AG28" s="156">
        <v>2748.515</v>
      </c>
      <c r="AH28" s="156">
        <v>5487</v>
      </c>
      <c r="AI28" s="156">
        <v>334958.708</v>
      </c>
      <c r="AJ28" s="156">
        <v>452073.205</v>
      </c>
      <c r="AK28" s="156">
        <v>116038.423</v>
      </c>
      <c r="AL28" s="156">
        <v>5675.296</v>
      </c>
      <c r="AM28" s="156">
        <v>789</v>
      </c>
      <c r="AN28" s="156">
        <v>188377</v>
      </c>
      <c r="AO28" s="157"/>
      <c r="AP28" s="147">
        <f t="shared" si="0"/>
        <v>7287693.458</v>
      </c>
      <c r="AQ28" s="16"/>
      <c r="AR28" s="16"/>
      <c r="AS28" s="16"/>
      <c r="AT28" s="16"/>
      <c r="AU28" s="157"/>
    </row>
    <row r="29" spans="1:47" ht="11.25" customHeight="1" hidden="1" outlineLevel="1">
      <c r="A29" s="161" t="s">
        <v>282</v>
      </c>
      <c r="B29" s="156">
        <v>0</v>
      </c>
      <c r="C29" s="156">
        <v>0</v>
      </c>
      <c r="D29" s="156">
        <v>0</v>
      </c>
      <c r="E29" s="156">
        <v>0</v>
      </c>
      <c r="F29" s="156">
        <v>1068.9</v>
      </c>
      <c r="G29" s="156">
        <v>15415.17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7">
        <v>0</v>
      </c>
      <c r="P29" s="157">
        <v>0</v>
      </c>
      <c r="Q29" s="157">
        <v>0</v>
      </c>
      <c r="R29" s="156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v>0</v>
      </c>
      <c r="AK29" s="156">
        <v>0</v>
      </c>
      <c r="AL29" s="156">
        <v>0</v>
      </c>
      <c r="AM29" s="157">
        <v>0</v>
      </c>
      <c r="AN29" s="157">
        <v>0</v>
      </c>
      <c r="AO29" s="157"/>
      <c r="AP29" s="147">
        <f t="shared" si="0"/>
        <v>16484.07</v>
      </c>
      <c r="AQ29" s="16"/>
      <c r="AR29" s="16"/>
      <c r="AS29" s="16"/>
      <c r="AT29" s="16"/>
      <c r="AU29" s="157"/>
    </row>
    <row r="30" spans="1:47" ht="11.25" customHeight="1" hidden="1" outlineLevel="1">
      <c r="A30" s="161" t="s">
        <v>283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7">
        <v>0</v>
      </c>
      <c r="P30" s="157">
        <v>0</v>
      </c>
      <c r="Q30" s="157">
        <v>0</v>
      </c>
      <c r="R30" s="156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v>0</v>
      </c>
      <c r="AK30" s="156">
        <v>0</v>
      </c>
      <c r="AL30" s="156">
        <v>0</v>
      </c>
      <c r="AM30" s="157">
        <v>0</v>
      </c>
      <c r="AN30" s="157">
        <v>0</v>
      </c>
      <c r="AO30" s="157"/>
      <c r="AP30" s="147">
        <f t="shared" si="0"/>
        <v>0</v>
      </c>
      <c r="AQ30" s="16"/>
      <c r="AR30" s="16"/>
      <c r="AS30" s="16"/>
      <c r="AT30" s="16"/>
      <c r="AU30" s="157"/>
    </row>
    <row r="31" spans="1:47" ht="11.25" customHeight="1" hidden="1" outlineLevel="1">
      <c r="A31" s="161" t="s">
        <v>284</v>
      </c>
      <c r="B31" s="156">
        <v>0</v>
      </c>
      <c r="C31" s="156">
        <v>0</v>
      </c>
      <c r="D31" s="156">
        <v>0</v>
      </c>
      <c r="E31" s="156">
        <v>-48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7">
        <v>0</v>
      </c>
      <c r="P31" s="157">
        <v>0</v>
      </c>
      <c r="Q31" s="157">
        <v>0</v>
      </c>
      <c r="R31" s="156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0</v>
      </c>
      <c r="AK31" s="156">
        <v>0</v>
      </c>
      <c r="AL31" s="156">
        <v>0</v>
      </c>
      <c r="AM31" s="157">
        <v>0</v>
      </c>
      <c r="AN31" s="156">
        <v>4328</v>
      </c>
      <c r="AO31" s="157"/>
      <c r="AP31" s="147">
        <f t="shared" si="0"/>
        <v>4280</v>
      </c>
      <c r="AQ31" s="16"/>
      <c r="AR31" s="16"/>
      <c r="AS31" s="16"/>
      <c r="AT31" s="16"/>
      <c r="AU31" s="157"/>
    </row>
    <row r="32" spans="1:47" ht="11.25" customHeight="1" hidden="1" outlineLevel="1">
      <c r="A32" s="161" t="s">
        <v>285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7">
        <v>0</v>
      </c>
      <c r="P32" s="157">
        <v>0</v>
      </c>
      <c r="Q32" s="157">
        <v>0</v>
      </c>
      <c r="R32" s="156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6">
        <v>218742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7">
        <v>0</v>
      </c>
      <c r="AN32" s="156">
        <v>-5147</v>
      </c>
      <c r="AO32" s="157"/>
      <c r="AP32" s="147">
        <f t="shared" si="0"/>
        <v>213595</v>
      </c>
      <c r="AQ32" s="16"/>
      <c r="AR32" s="16"/>
      <c r="AS32" s="16"/>
      <c r="AT32" s="16"/>
      <c r="AU32" s="157"/>
    </row>
    <row r="33" spans="1:51" ht="11.25" customHeight="1" collapsed="1">
      <c r="A33" s="160" t="s">
        <v>401</v>
      </c>
      <c r="B33" s="16">
        <f aca="true" t="shared" si="3" ref="B33:AN33">SUM(B24:B32)</f>
        <v>285858</v>
      </c>
      <c r="C33" s="16">
        <f t="shared" si="3"/>
        <v>61200</v>
      </c>
      <c r="D33" s="16">
        <f t="shared" si="3"/>
        <v>23345</v>
      </c>
      <c r="E33" s="16">
        <f t="shared" si="3"/>
        <v>375893</v>
      </c>
      <c r="F33" s="16">
        <f>SUM(F24:F32)</f>
        <v>45894.311</v>
      </c>
      <c r="G33" s="16">
        <f>SUM(G24:G32)</f>
        <v>91140.87999999999</v>
      </c>
      <c r="H33" s="16">
        <f t="shared" si="3"/>
        <v>15910</v>
      </c>
      <c r="I33" s="16">
        <f t="shared" si="3"/>
        <v>1096</v>
      </c>
      <c r="J33" s="16">
        <f t="shared" si="3"/>
        <v>1878</v>
      </c>
      <c r="K33" s="16">
        <f t="shared" si="3"/>
        <v>20084</v>
      </c>
      <c r="L33" s="16">
        <f t="shared" si="3"/>
        <v>129161</v>
      </c>
      <c r="M33" s="16">
        <f t="shared" si="3"/>
        <v>75923</v>
      </c>
      <c r="N33" s="16">
        <f t="shared" si="3"/>
        <v>221814</v>
      </c>
      <c r="O33" s="16">
        <f>SUM(O24:O32)</f>
        <v>3009452</v>
      </c>
      <c r="P33" s="16">
        <f>SUM(P24:P32)</f>
        <v>193272</v>
      </c>
      <c r="Q33" s="16">
        <f>SUM(Q24:Q32)</f>
        <v>335261</v>
      </c>
      <c r="R33" s="16">
        <f t="shared" si="3"/>
        <v>18378</v>
      </c>
      <c r="S33" s="16">
        <f>SUM(S24:S32)</f>
        <v>392905.421</v>
      </c>
      <c r="T33" s="16">
        <f>SUM(T24:T32)</f>
        <v>2058900.259</v>
      </c>
      <c r="U33" s="16">
        <f>SUM(U24:U32)</f>
        <v>153784.969</v>
      </c>
      <c r="V33" s="16">
        <f>SUM(V24:V32)</f>
        <v>78101</v>
      </c>
      <c r="W33" s="16">
        <f t="shared" si="3"/>
        <v>12817</v>
      </c>
      <c r="X33" s="16">
        <f t="shared" si="3"/>
        <v>35333</v>
      </c>
      <c r="Y33" s="16">
        <f t="shared" si="3"/>
        <v>218742</v>
      </c>
      <c r="Z33" s="16">
        <f t="shared" si="3"/>
        <v>4242</v>
      </c>
      <c r="AA33" s="16">
        <f t="shared" si="3"/>
        <v>35525</v>
      </c>
      <c r="AB33" s="16">
        <f t="shared" si="3"/>
        <v>74603</v>
      </c>
      <c r="AC33" s="16">
        <f t="shared" si="3"/>
        <v>2773</v>
      </c>
      <c r="AD33" s="16">
        <f t="shared" si="3"/>
        <v>8409</v>
      </c>
      <c r="AE33" s="16">
        <f>SUM(AE24:AE32)</f>
        <v>36398</v>
      </c>
      <c r="AF33" s="16">
        <f>SUM(AF24:AF32)</f>
        <v>5650</v>
      </c>
      <c r="AG33" s="16">
        <f>SUM(AG24:AG32)</f>
        <v>2748.515</v>
      </c>
      <c r="AH33" s="16">
        <f t="shared" si="3"/>
        <v>5487</v>
      </c>
      <c r="AI33" s="16">
        <f t="shared" si="3"/>
        <v>339592.217</v>
      </c>
      <c r="AJ33" s="16">
        <f t="shared" si="3"/>
        <v>456547.68100000004</v>
      </c>
      <c r="AK33" s="16">
        <f t="shared" si="3"/>
        <v>116284.67499999999</v>
      </c>
      <c r="AL33" s="16">
        <f t="shared" si="3"/>
        <v>5675.296</v>
      </c>
      <c r="AM33" s="16">
        <f t="shared" si="3"/>
        <v>789</v>
      </c>
      <c r="AN33" s="16">
        <f t="shared" si="3"/>
        <v>188256</v>
      </c>
      <c r="AO33" s="16"/>
      <c r="AP33" s="147">
        <f t="shared" si="0"/>
        <v>9139124.224</v>
      </c>
      <c r="AQ33" s="16"/>
      <c r="AR33" s="16"/>
      <c r="AS33" s="16"/>
      <c r="AT33" s="16"/>
      <c r="AU33" s="16"/>
      <c r="AW33" s="16"/>
      <c r="AX33" s="16"/>
      <c r="AY33" s="16"/>
    </row>
    <row r="34" spans="1:46" ht="11.25" customHeight="1">
      <c r="A34" s="160"/>
      <c r="B34" s="158"/>
      <c r="C34" s="158"/>
      <c r="D34" s="156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7"/>
      <c r="T34" s="157"/>
      <c r="U34" s="157"/>
      <c r="V34" s="157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Q34" s="16"/>
      <c r="AR34" s="16"/>
      <c r="AS34" s="16"/>
      <c r="AT34" s="16"/>
    </row>
    <row r="35" spans="1:46" ht="11.25" customHeight="1" hidden="1" outlineLevel="1">
      <c r="A35" s="160" t="s">
        <v>287</v>
      </c>
      <c r="B35" s="158"/>
      <c r="C35" s="158"/>
      <c r="D35" s="156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7"/>
      <c r="T35" s="157"/>
      <c r="U35" s="157"/>
      <c r="V35" s="157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Q35" s="16"/>
      <c r="AR35" s="16"/>
      <c r="AS35" s="16"/>
      <c r="AT35" s="16"/>
    </row>
    <row r="36" spans="1:47" ht="11.25" customHeight="1" hidden="1" outlineLevel="1">
      <c r="A36" s="161" t="s">
        <v>288</v>
      </c>
      <c r="B36" s="156">
        <v>939</v>
      </c>
      <c r="C36" s="156">
        <v>233</v>
      </c>
      <c r="D36" s="156">
        <v>24.5</v>
      </c>
      <c r="E36" s="156">
        <v>1021</v>
      </c>
      <c r="F36" s="156">
        <v>0</v>
      </c>
      <c r="G36" s="156">
        <v>0</v>
      </c>
      <c r="H36" s="156">
        <v>451</v>
      </c>
      <c r="I36" s="156">
        <v>31</v>
      </c>
      <c r="J36" s="156">
        <v>0</v>
      </c>
      <c r="K36" s="156">
        <v>255</v>
      </c>
      <c r="L36" s="156">
        <v>1635</v>
      </c>
      <c r="M36" s="156">
        <v>398</v>
      </c>
      <c r="N36" s="156">
        <v>1164</v>
      </c>
      <c r="O36" s="156">
        <v>94533</v>
      </c>
      <c r="P36" s="156">
        <v>5704</v>
      </c>
      <c r="Q36" s="156">
        <v>0</v>
      </c>
      <c r="R36" s="156">
        <v>0</v>
      </c>
      <c r="S36" s="157">
        <v>5359.7109968800005</v>
      </c>
      <c r="T36" s="157">
        <v>18468.654487860003</v>
      </c>
      <c r="U36" s="157">
        <v>1458.7289991</v>
      </c>
      <c r="V36" s="157">
        <v>730.692</v>
      </c>
      <c r="W36" s="156">
        <v>164</v>
      </c>
      <c r="X36" s="156">
        <v>454</v>
      </c>
      <c r="Y36" s="156">
        <v>0</v>
      </c>
      <c r="Z36" s="156">
        <v>0</v>
      </c>
      <c r="AA36" s="156">
        <v>213</v>
      </c>
      <c r="AB36" s="156">
        <v>0</v>
      </c>
      <c r="AC36" s="156">
        <v>114</v>
      </c>
      <c r="AD36" s="156">
        <v>313</v>
      </c>
      <c r="AE36" s="156">
        <v>0</v>
      </c>
      <c r="AF36" s="156">
        <v>0</v>
      </c>
      <c r="AG36" s="156">
        <v>0</v>
      </c>
      <c r="AH36" s="156">
        <v>0</v>
      </c>
      <c r="AI36" s="156">
        <v>6692.628</v>
      </c>
      <c r="AJ36" s="156">
        <v>9184.687</v>
      </c>
      <c r="AK36" s="156">
        <v>2158.756</v>
      </c>
      <c r="AL36" s="156">
        <v>0</v>
      </c>
      <c r="AM36" s="156">
        <v>0</v>
      </c>
      <c r="AN36" s="156">
        <v>1255</v>
      </c>
      <c r="AO36" s="157"/>
      <c r="AP36" s="147">
        <f t="shared" si="0"/>
        <v>152955.35748384002</v>
      </c>
      <c r="AQ36" s="16"/>
      <c r="AR36" s="16"/>
      <c r="AS36" s="16"/>
      <c r="AT36" s="16"/>
      <c r="AU36" s="157"/>
    </row>
    <row r="37" spans="1:47" ht="11.25" customHeight="1" hidden="1" outlineLevel="1">
      <c r="A37" s="161" t="s">
        <v>289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7">
        <v>0</v>
      </c>
      <c r="P37" s="157">
        <v>0</v>
      </c>
      <c r="Q37" s="157">
        <v>0</v>
      </c>
      <c r="R37" s="156">
        <v>0</v>
      </c>
      <c r="S37" s="157">
        <v>38.765312</v>
      </c>
      <c r="T37" s="157">
        <v>148.690214</v>
      </c>
      <c r="U37" s="157">
        <v>11.98709</v>
      </c>
      <c r="V37" s="157">
        <v>6.885</v>
      </c>
      <c r="W37" s="157">
        <v>0</v>
      </c>
      <c r="X37" s="157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0</v>
      </c>
      <c r="AM37" s="156">
        <v>0</v>
      </c>
      <c r="AN37" s="156">
        <v>5</v>
      </c>
      <c r="AO37" s="157"/>
      <c r="AP37" s="147">
        <f t="shared" si="0"/>
        <v>211.32761599999998</v>
      </c>
      <c r="AQ37" s="16"/>
      <c r="AR37" s="16"/>
      <c r="AS37" s="16"/>
      <c r="AT37" s="16"/>
      <c r="AU37" s="157"/>
    </row>
    <row r="38" spans="1:47" ht="11.25" customHeight="1" hidden="1" outlineLevel="1">
      <c r="A38" s="161" t="s">
        <v>290</v>
      </c>
      <c r="B38" s="156">
        <v>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7">
        <v>0</v>
      </c>
      <c r="P38" s="157">
        <v>0</v>
      </c>
      <c r="Q38" s="157">
        <v>0</v>
      </c>
      <c r="R38" s="156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0</v>
      </c>
      <c r="AM38" s="157">
        <v>0</v>
      </c>
      <c r="AN38" s="157">
        <v>0</v>
      </c>
      <c r="AO38" s="157"/>
      <c r="AP38" s="147">
        <f t="shared" si="0"/>
        <v>0</v>
      </c>
      <c r="AQ38" s="16"/>
      <c r="AR38" s="16"/>
      <c r="AS38" s="16"/>
      <c r="AT38" s="16"/>
      <c r="AU38" s="157"/>
    </row>
    <row r="39" spans="1:47" ht="11.25" customHeight="1" hidden="1" outlineLevel="1">
      <c r="A39" s="161" t="s">
        <v>291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7">
        <v>0</v>
      </c>
      <c r="P39" s="157">
        <v>0</v>
      </c>
      <c r="Q39" s="157">
        <v>0</v>
      </c>
      <c r="R39" s="156">
        <v>0</v>
      </c>
      <c r="S39" s="157">
        <v>0</v>
      </c>
      <c r="T39" s="157">
        <v>0</v>
      </c>
      <c r="U39" s="157">
        <v>0</v>
      </c>
      <c r="V39" s="157">
        <v>0</v>
      </c>
      <c r="W39" s="157">
        <v>0</v>
      </c>
      <c r="X39" s="157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7">
        <v>0</v>
      </c>
      <c r="AN39" s="157">
        <v>0</v>
      </c>
      <c r="AO39" s="157"/>
      <c r="AP39" s="147">
        <f t="shared" si="0"/>
        <v>0</v>
      </c>
      <c r="AQ39" s="16"/>
      <c r="AR39" s="16"/>
      <c r="AS39" s="16"/>
      <c r="AT39" s="16"/>
      <c r="AU39" s="157"/>
    </row>
    <row r="40" spans="1:47" ht="11.25" customHeight="1" hidden="1" outlineLevel="1">
      <c r="A40" s="161" t="s">
        <v>292</v>
      </c>
      <c r="B40" s="156">
        <v>114</v>
      </c>
      <c r="C40" s="156">
        <v>23</v>
      </c>
      <c r="D40" s="156">
        <v>0</v>
      </c>
      <c r="E40" s="156">
        <v>0</v>
      </c>
      <c r="F40" s="156">
        <v>77.415</v>
      </c>
      <c r="G40" s="156">
        <v>96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7">
        <v>926</v>
      </c>
      <c r="P40" s="157">
        <v>12.4</v>
      </c>
      <c r="Q40" s="157">
        <v>0</v>
      </c>
      <c r="R40" s="156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6">
        <v>2392</v>
      </c>
      <c r="Z40" s="156">
        <v>5</v>
      </c>
      <c r="AA40" s="156">
        <v>0</v>
      </c>
      <c r="AB40" s="156">
        <v>0</v>
      </c>
      <c r="AC40" s="156">
        <v>0</v>
      </c>
      <c r="AD40" s="156">
        <v>0</v>
      </c>
      <c r="AE40" s="156">
        <v>120</v>
      </c>
      <c r="AF40" s="156">
        <v>13</v>
      </c>
      <c r="AG40" s="156">
        <v>0</v>
      </c>
      <c r="AH40" s="156">
        <v>593</v>
      </c>
      <c r="AI40" s="156">
        <v>294.311</v>
      </c>
      <c r="AJ40" s="156">
        <v>302.39</v>
      </c>
      <c r="AK40" s="156">
        <v>44.906</v>
      </c>
      <c r="AL40" s="156">
        <v>0</v>
      </c>
      <c r="AM40" s="157">
        <v>0</v>
      </c>
      <c r="AN40" s="157">
        <v>0</v>
      </c>
      <c r="AO40" s="157"/>
      <c r="AP40" s="147">
        <f t="shared" si="0"/>
        <v>5013.4220000000005</v>
      </c>
      <c r="AQ40" s="16"/>
      <c r="AR40" s="16"/>
      <c r="AS40" s="16"/>
      <c r="AT40" s="16"/>
      <c r="AU40" s="157"/>
    </row>
    <row r="41" spans="1:47" ht="11.25" customHeight="1" collapsed="1">
      <c r="A41" s="160" t="s">
        <v>402</v>
      </c>
      <c r="B41" s="16">
        <f>SUM(B36:B40)</f>
        <v>1053</v>
      </c>
      <c r="C41" s="16">
        <f aca="true" t="shared" si="4" ref="C41:AN41">SUM(C36:C40)</f>
        <v>256</v>
      </c>
      <c r="D41" s="16">
        <f t="shared" si="4"/>
        <v>24.5</v>
      </c>
      <c r="E41" s="16">
        <f t="shared" si="4"/>
        <v>1021</v>
      </c>
      <c r="F41" s="16">
        <f t="shared" si="4"/>
        <v>77.415</v>
      </c>
      <c r="G41" s="16">
        <f t="shared" si="4"/>
        <v>96</v>
      </c>
      <c r="H41" s="16">
        <f t="shared" si="4"/>
        <v>451</v>
      </c>
      <c r="I41" s="16">
        <f t="shared" si="4"/>
        <v>31</v>
      </c>
      <c r="J41" s="16">
        <f t="shared" si="4"/>
        <v>0</v>
      </c>
      <c r="K41" s="16">
        <f t="shared" si="4"/>
        <v>255</v>
      </c>
      <c r="L41" s="16">
        <f t="shared" si="4"/>
        <v>1635</v>
      </c>
      <c r="M41" s="16">
        <f t="shared" si="4"/>
        <v>398</v>
      </c>
      <c r="N41" s="16">
        <f t="shared" si="4"/>
        <v>1164</v>
      </c>
      <c r="O41" s="16">
        <f>SUM(O36:O40)</f>
        <v>95459</v>
      </c>
      <c r="P41" s="16">
        <f>SUM(P36:P40)</f>
        <v>5716.4</v>
      </c>
      <c r="Q41" s="16">
        <f>SUM(Q36:Q40)</f>
        <v>0</v>
      </c>
      <c r="R41" s="16">
        <f t="shared" si="4"/>
        <v>0</v>
      </c>
      <c r="S41" s="16">
        <f t="shared" si="4"/>
        <v>5398.476308880001</v>
      </c>
      <c r="T41" s="16">
        <f t="shared" si="4"/>
        <v>18617.34470186</v>
      </c>
      <c r="U41" s="16">
        <f t="shared" si="4"/>
        <v>1470.7160891</v>
      </c>
      <c r="V41" s="16">
        <f t="shared" si="4"/>
        <v>737.577</v>
      </c>
      <c r="W41" s="16">
        <f t="shared" si="4"/>
        <v>164</v>
      </c>
      <c r="X41" s="16">
        <f t="shared" si="4"/>
        <v>454</v>
      </c>
      <c r="Y41" s="16">
        <f t="shared" si="4"/>
        <v>2392</v>
      </c>
      <c r="Z41" s="16">
        <f t="shared" si="4"/>
        <v>5</v>
      </c>
      <c r="AA41" s="16">
        <f t="shared" si="4"/>
        <v>213</v>
      </c>
      <c r="AB41" s="16">
        <f t="shared" si="4"/>
        <v>0</v>
      </c>
      <c r="AC41" s="16">
        <f t="shared" si="4"/>
        <v>114</v>
      </c>
      <c r="AD41" s="16">
        <f t="shared" si="4"/>
        <v>313</v>
      </c>
      <c r="AE41" s="16">
        <f>SUM(AE36:AE40)</f>
        <v>120</v>
      </c>
      <c r="AF41" s="16">
        <f>SUM(AF36:AF40)</f>
        <v>13</v>
      </c>
      <c r="AG41" s="16">
        <f>SUM(AG36:AG40)</f>
        <v>0</v>
      </c>
      <c r="AH41" s="16">
        <f t="shared" si="4"/>
        <v>593</v>
      </c>
      <c r="AI41" s="16">
        <f t="shared" si="4"/>
        <v>6986.938999999999</v>
      </c>
      <c r="AJ41" s="16">
        <f t="shared" si="4"/>
        <v>9487.077</v>
      </c>
      <c r="AK41" s="16">
        <f t="shared" si="4"/>
        <v>2203.662</v>
      </c>
      <c r="AL41" s="16">
        <f t="shared" si="4"/>
        <v>0</v>
      </c>
      <c r="AM41" s="16">
        <f t="shared" si="4"/>
        <v>0</v>
      </c>
      <c r="AN41" s="16">
        <f t="shared" si="4"/>
        <v>1260</v>
      </c>
      <c r="AO41" s="16"/>
      <c r="AP41" s="147">
        <f t="shared" si="0"/>
        <v>158180.10709983998</v>
      </c>
      <c r="AQ41" s="16"/>
      <c r="AR41" s="16"/>
      <c r="AS41" s="16"/>
      <c r="AT41" s="16"/>
      <c r="AU41" s="16"/>
    </row>
    <row r="42" spans="1:46" ht="11.25" customHeight="1">
      <c r="A42" s="160"/>
      <c r="B42" s="158"/>
      <c r="C42" s="158"/>
      <c r="D42" s="156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7"/>
      <c r="T42" s="157"/>
      <c r="U42" s="157"/>
      <c r="V42" s="157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Q42" s="16"/>
      <c r="AR42" s="16"/>
      <c r="AS42" s="16"/>
      <c r="AT42" s="16"/>
    </row>
    <row r="43" spans="1:46" ht="11.25" customHeight="1" hidden="1" outlineLevel="1">
      <c r="A43" s="160" t="s">
        <v>294</v>
      </c>
      <c r="B43" s="158"/>
      <c r="C43" s="158"/>
      <c r="D43" s="156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7"/>
      <c r="T43" s="157"/>
      <c r="U43" s="157"/>
      <c r="V43" s="157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Q43" s="16"/>
      <c r="AR43" s="16"/>
      <c r="AS43" s="16"/>
      <c r="AT43" s="16"/>
    </row>
    <row r="44" spans="1:47" ht="11.25" customHeight="1" hidden="1" outlineLevel="1">
      <c r="A44" s="161" t="s">
        <v>288</v>
      </c>
      <c r="B44" s="156">
        <v>2785</v>
      </c>
      <c r="C44" s="156">
        <v>672.4</v>
      </c>
      <c r="D44" s="156">
        <v>351.5</v>
      </c>
      <c r="E44" s="156">
        <v>1016</v>
      </c>
      <c r="F44" s="156">
        <v>2399.85</v>
      </c>
      <c r="G44" s="156">
        <v>5350</v>
      </c>
      <c r="H44" s="156">
        <v>0</v>
      </c>
      <c r="I44" s="156">
        <v>0</v>
      </c>
      <c r="J44" s="156">
        <v>0</v>
      </c>
      <c r="K44" s="156">
        <v>248</v>
      </c>
      <c r="L44" s="156">
        <v>1586</v>
      </c>
      <c r="M44" s="156">
        <v>0</v>
      </c>
      <c r="N44" s="156">
        <v>0</v>
      </c>
      <c r="O44" s="156">
        <v>45157</v>
      </c>
      <c r="P44" s="156">
        <v>2736</v>
      </c>
      <c r="Q44" s="156">
        <v>0</v>
      </c>
      <c r="R44" s="156">
        <v>307</v>
      </c>
      <c r="S44" s="157">
        <v>6547.501</v>
      </c>
      <c r="T44" s="157">
        <v>25172.7175</v>
      </c>
      <c r="U44" s="157">
        <v>1995.174</v>
      </c>
      <c r="V44" s="157">
        <v>1107.666</v>
      </c>
      <c r="W44" s="156">
        <v>170</v>
      </c>
      <c r="X44" s="156">
        <v>469</v>
      </c>
      <c r="Y44" s="156">
        <v>0</v>
      </c>
      <c r="Z44" s="156">
        <v>0</v>
      </c>
      <c r="AA44" s="156">
        <v>338</v>
      </c>
      <c r="AB44" s="156">
        <v>1660</v>
      </c>
      <c r="AC44" s="156">
        <v>38</v>
      </c>
      <c r="AD44" s="156">
        <v>104</v>
      </c>
      <c r="AE44" s="156">
        <v>0</v>
      </c>
      <c r="AF44" s="156">
        <v>0</v>
      </c>
      <c r="AG44" s="156">
        <v>0</v>
      </c>
      <c r="AH44" s="156">
        <v>250</v>
      </c>
      <c r="AI44" s="156">
        <v>13960.359</v>
      </c>
      <c r="AJ44" s="156">
        <v>19022.996</v>
      </c>
      <c r="AK44" s="156">
        <v>4480.026</v>
      </c>
      <c r="AL44" s="156">
        <v>0</v>
      </c>
      <c r="AM44" s="157">
        <v>162</v>
      </c>
      <c r="AN44" s="156">
        <v>2661</v>
      </c>
      <c r="AO44" s="157"/>
      <c r="AP44" s="147">
        <f t="shared" si="0"/>
        <v>140747.1895</v>
      </c>
      <c r="AQ44" s="16"/>
      <c r="AR44" s="16"/>
      <c r="AS44" s="16"/>
      <c r="AT44" s="16"/>
      <c r="AU44" s="157"/>
    </row>
    <row r="45" spans="1:47" ht="11.25" customHeight="1" hidden="1" outlineLevel="1">
      <c r="A45" s="161" t="s">
        <v>295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838</v>
      </c>
      <c r="N45" s="156">
        <v>2449</v>
      </c>
      <c r="O45" s="156">
        <v>0</v>
      </c>
      <c r="P45" s="156">
        <v>0</v>
      </c>
      <c r="Q45" s="156">
        <v>0</v>
      </c>
      <c r="R45" s="156">
        <v>0</v>
      </c>
      <c r="S45" s="157">
        <v>0</v>
      </c>
      <c r="T45" s="157">
        <v>0</v>
      </c>
      <c r="U45" s="157">
        <v>0</v>
      </c>
      <c r="V45" s="157">
        <v>0</v>
      </c>
      <c r="W45" s="156">
        <v>0</v>
      </c>
      <c r="X45" s="156">
        <v>0</v>
      </c>
      <c r="Y45" s="156">
        <v>6538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156">
        <v>0</v>
      </c>
      <c r="AK45" s="156">
        <v>0</v>
      </c>
      <c r="AL45" s="156">
        <v>0</v>
      </c>
      <c r="AM45" s="157">
        <v>0</v>
      </c>
      <c r="AN45" s="157">
        <v>0</v>
      </c>
      <c r="AO45" s="157"/>
      <c r="AP45" s="147">
        <f t="shared" si="0"/>
        <v>9825</v>
      </c>
      <c r="AQ45" s="16"/>
      <c r="AR45" s="16"/>
      <c r="AS45" s="16"/>
      <c r="AT45" s="16"/>
      <c r="AU45" s="157"/>
    </row>
    <row r="46" spans="1:47" ht="11.25" customHeight="1" collapsed="1">
      <c r="A46" s="160" t="s">
        <v>294</v>
      </c>
      <c r="B46" s="156">
        <f aca="true" t="shared" si="5" ref="B46:AN46">SUM(B44:B45)</f>
        <v>2785</v>
      </c>
      <c r="C46" s="156">
        <f t="shared" si="5"/>
        <v>672.4</v>
      </c>
      <c r="D46" s="156">
        <f t="shared" si="5"/>
        <v>351.5</v>
      </c>
      <c r="E46" s="156">
        <f t="shared" si="5"/>
        <v>1016</v>
      </c>
      <c r="F46" s="156">
        <f t="shared" si="5"/>
        <v>2399.85</v>
      </c>
      <c r="G46" s="156">
        <f t="shared" si="5"/>
        <v>5350</v>
      </c>
      <c r="H46" s="156">
        <f t="shared" si="5"/>
        <v>0</v>
      </c>
      <c r="I46" s="156">
        <f t="shared" si="5"/>
        <v>0</v>
      </c>
      <c r="J46" s="156">
        <f t="shared" si="5"/>
        <v>0</v>
      </c>
      <c r="K46" s="156">
        <f t="shared" si="5"/>
        <v>248</v>
      </c>
      <c r="L46" s="156">
        <f t="shared" si="5"/>
        <v>1586</v>
      </c>
      <c r="M46" s="156">
        <f t="shared" si="5"/>
        <v>838</v>
      </c>
      <c r="N46" s="156">
        <f t="shared" si="5"/>
        <v>2449</v>
      </c>
      <c r="O46" s="156">
        <f>SUM(O44:O45)</f>
        <v>45157</v>
      </c>
      <c r="P46" s="156">
        <f>SUM(P44:P45)</f>
        <v>2736</v>
      </c>
      <c r="Q46" s="156">
        <f>SUM(Q44:Q45)</f>
        <v>0</v>
      </c>
      <c r="R46" s="156">
        <f t="shared" si="5"/>
        <v>307</v>
      </c>
      <c r="S46" s="156">
        <f t="shared" si="5"/>
        <v>6547.501</v>
      </c>
      <c r="T46" s="156">
        <f t="shared" si="5"/>
        <v>25172.7175</v>
      </c>
      <c r="U46" s="156">
        <f t="shared" si="5"/>
        <v>1995.174</v>
      </c>
      <c r="V46" s="156">
        <f t="shared" si="5"/>
        <v>1107.666</v>
      </c>
      <c r="W46" s="156">
        <f t="shared" si="5"/>
        <v>170</v>
      </c>
      <c r="X46" s="156">
        <f t="shared" si="5"/>
        <v>469</v>
      </c>
      <c r="Y46" s="156">
        <f t="shared" si="5"/>
        <v>6538</v>
      </c>
      <c r="Z46" s="156">
        <f t="shared" si="5"/>
        <v>0</v>
      </c>
      <c r="AA46" s="156">
        <f t="shared" si="5"/>
        <v>338</v>
      </c>
      <c r="AB46" s="156">
        <f t="shared" si="5"/>
        <v>1660</v>
      </c>
      <c r="AC46" s="156">
        <f t="shared" si="5"/>
        <v>38</v>
      </c>
      <c r="AD46" s="156">
        <f t="shared" si="5"/>
        <v>104</v>
      </c>
      <c r="AE46" s="156">
        <f>SUM(AE44:AE45)</f>
        <v>0</v>
      </c>
      <c r="AF46" s="156">
        <f>SUM(AF44:AF45)</f>
        <v>0</v>
      </c>
      <c r="AG46" s="156">
        <f>SUM(AG44:AG45)</f>
        <v>0</v>
      </c>
      <c r="AH46" s="156">
        <f t="shared" si="5"/>
        <v>250</v>
      </c>
      <c r="AI46" s="156">
        <f t="shared" si="5"/>
        <v>13960.359</v>
      </c>
      <c r="AJ46" s="156">
        <f t="shared" si="5"/>
        <v>19022.996</v>
      </c>
      <c r="AK46" s="156">
        <f t="shared" si="5"/>
        <v>4480.026</v>
      </c>
      <c r="AL46" s="156">
        <f t="shared" si="5"/>
        <v>0</v>
      </c>
      <c r="AM46" s="156">
        <f t="shared" si="5"/>
        <v>162</v>
      </c>
      <c r="AN46" s="156">
        <f t="shared" si="5"/>
        <v>2661</v>
      </c>
      <c r="AO46" s="16"/>
      <c r="AP46" s="147">
        <f t="shared" si="0"/>
        <v>150572.1895</v>
      </c>
      <c r="AQ46" s="16"/>
      <c r="AR46" s="16"/>
      <c r="AS46" s="16"/>
      <c r="AT46" s="16"/>
      <c r="AU46" s="16"/>
    </row>
    <row r="47" spans="1:46" ht="11.25" customHeight="1">
      <c r="A47" s="161"/>
      <c r="B47" s="158"/>
      <c r="C47" s="158"/>
      <c r="D47" s="156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7"/>
      <c r="T47" s="157"/>
      <c r="U47" s="157"/>
      <c r="V47" s="157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Q47" s="16"/>
      <c r="AR47" s="16"/>
      <c r="AS47" s="16"/>
      <c r="AT47" s="16"/>
    </row>
    <row r="48" spans="1:47" ht="11.25" customHeight="1">
      <c r="A48" s="160" t="s">
        <v>297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57">
        <v>0</v>
      </c>
      <c r="P48" s="157">
        <v>0</v>
      </c>
      <c r="Q48" s="157">
        <v>0</v>
      </c>
      <c r="R48" s="16">
        <v>0</v>
      </c>
      <c r="S48" s="157">
        <v>0</v>
      </c>
      <c r="T48" s="157">
        <v>0</v>
      </c>
      <c r="U48" s="157">
        <v>0</v>
      </c>
      <c r="V48" s="157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/>
      <c r="AP48" s="147">
        <f t="shared" si="0"/>
        <v>0</v>
      </c>
      <c r="AQ48" s="16"/>
      <c r="AR48" s="16"/>
      <c r="AS48" s="16"/>
      <c r="AT48" s="16"/>
      <c r="AU48" s="16"/>
    </row>
    <row r="49" spans="1:46" ht="11.25" customHeight="1" hidden="1" outlineLevel="1">
      <c r="A49" s="161"/>
      <c r="B49" s="158"/>
      <c r="C49" s="158"/>
      <c r="D49" s="156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7"/>
      <c r="P49" s="157"/>
      <c r="Q49" s="157"/>
      <c r="R49" s="159"/>
      <c r="S49" s="157"/>
      <c r="T49" s="157"/>
      <c r="U49" s="157"/>
      <c r="V49" s="157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Q49" s="16"/>
      <c r="AR49" s="16"/>
      <c r="AS49" s="16"/>
      <c r="AT49" s="16"/>
    </row>
    <row r="50" spans="1:47" ht="11.25" customHeight="1" hidden="1" outlineLevel="1">
      <c r="A50" s="160" t="s">
        <v>298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57">
        <v>0</v>
      </c>
      <c r="P50" s="157">
        <v>0</v>
      </c>
      <c r="Q50" s="157">
        <v>0</v>
      </c>
      <c r="R50" s="16">
        <v>0</v>
      </c>
      <c r="S50" s="157">
        <v>0</v>
      </c>
      <c r="T50" s="157">
        <v>0</v>
      </c>
      <c r="U50" s="157">
        <v>0</v>
      </c>
      <c r="V50" s="157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/>
      <c r="AP50" s="147">
        <f t="shared" si="0"/>
        <v>0</v>
      </c>
      <c r="AQ50" s="16"/>
      <c r="AR50" s="16"/>
      <c r="AS50" s="16"/>
      <c r="AT50" s="16"/>
      <c r="AU50" s="16"/>
    </row>
    <row r="51" spans="1:46" ht="11.25" customHeight="1" hidden="1" outlineLevel="1">
      <c r="A51" s="161"/>
      <c r="B51" s="158"/>
      <c r="C51" s="158"/>
      <c r="D51" s="156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7"/>
      <c r="T51" s="157"/>
      <c r="U51" s="157"/>
      <c r="V51" s="157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Q51" s="16"/>
      <c r="AR51" s="16"/>
      <c r="AS51" s="16"/>
      <c r="AT51" s="16"/>
    </row>
    <row r="52" spans="1:46" ht="11.25" customHeight="1" collapsed="1">
      <c r="A52" s="160" t="s">
        <v>299</v>
      </c>
      <c r="B52" s="158"/>
      <c r="C52" s="158"/>
      <c r="D52" s="156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7"/>
      <c r="T52" s="157"/>
      <c r="U52" s="157"/>
      <c r="V52" s="157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Q52" s="16"/>
      <c r="AR52" s="16"/>
      <c r="AS52" s="16"/>
      <c r="AT52" s="16"/>
    </row>
    <row r="53" spans="1:47" ht="11.25" customHeight="1">
      <c r="A53" s="160" t="s">
        <v>300</v>
      </c>
      <c r="B53" s="16">
        <f aca="true" t="shared" si="6" ref="B53:AN53">+B14-B21+B33-B41-B46+B48-B50</f>
        <v>637713</v>
      </c>
      <c r="C53" s="16">
        <f t="shared" si="6"/>
        <v>236876.6</v>
      </c>
      <c r="D53" s="16">
        <f t="shared" si="6"/>
        <v>70792</v>
      </c>
      <c r="E53" s="16">
        <f t="shared" si="6"/>
        <v>1041156</v>
      </c>
      <c r="F53" s="16">
        <f t="shared" si="6"/>
        <v>91793.67400000001</v>
      </c>
      <c r="G53" s="16">
        <f t="shared" si="6"/>
        <v>318761.12899999996</v>
      </c>
      <c r="H53" s="16">
        <f t="shared" si="6"/>
        <v>48263</v>
      </c>
      <c r="I53" s="16">
        <f t="shared" si="6"/>
        <v>5978</v>
      </c>
      <c r="J53" s="16">
        <f t="shared" si="6"/>
        <v>7185</v>
      </c>
      <c r="K53" s="16">
        <f t="shared" si="6"/>
        <v>42367</v>
      </c>
      <c r="L53" s="16">
        <f t="shared" si="6"/>
        <v>546556</v>
      </c>
      <c r="M53" s="16">
        <f t="shared" si="6"/>
        <v>97206</v>
      </c>
      <c r="N53" s="16">
        <f t="shared" si="6"/>
        <v>374077</v>
      </c>
      <c r="O53" s="16">
        <f>+O14-O21+O33-O41-O46+O48-O50</f>
        <v>4406196</v>
      </c>
      <c r="P53" s="16">
        <f>+P14-P21+P33-P41-P46+P48-P50</f>
        <v>487800.19999999995</v>
      </c>
      <c r="Q53" s="16">
        <f>+Q14-Q21+Q33-Q41-Q46+Q48-Q50</f>
        <v>422618</v>
      </c>
      <c r="R53" s="16">
        <f t="shared" si="6"/>
        <v>67506</v>
      </c>
      <c r="S53" s="16">
        <f t="shared" si="6"/>
        <v>1205352.4686911202</v>
      </c>
      <c r="T53" s="16">
        <f t="shared" si="6"/>
        <v>3217712.92979814</v>
      </c>
      <c r="U53" s="16">
        <f t="shared" si="6"/>
        <v>486717.34091090003</v>
      </c>
      <c r="V53" s="16">
        <f t="shared" si="6"/>
        <v>300009.771</v>
      </c>
      <c r="W53" s="16">
        <f t="shared" si="6"/>
        <v>12357</v>
      </c>
      <c r="X53" s="16">
        <f t="shared" si="6"/>
        <v>175155</v>
      </c>
      <c r="Y53" s="16">
        <f t="shared" si="6"/>
        <v>284381</v>
      </c>
      <c r="Z53" s="16">
        <f t="shared" si="6"/>
        <v>30460</v>
      </c>
      <c r="AA53" s="16">
        <f t="shared" si="6"/>
        <v>77737</v>
      </c>
      <c r="AB53" s="16">
        <f t="shared" si="6"/>
        <v>234818</v>
      </c>
      <c r="AC53" s="16">
        <f t="shared" si="6"/>
        <v>9094</v>
      </c>
      <c r="AD53" s="16">
        <f t="shared" si="6"/>
        <v>25542</v>
      </c>
      <c r="AE53" s="16">
        <f>+AE14-AE21+AE33-AE41-AE46+AE48-AE50</f>
        <v>84505.367</v>
      </c>
      <c r="AF53" s="16">
        <f>+AF14-AF21+AF33-AF41-AF46+AF48-AF50</f>
        <v>10964.636999999999</v>
      </c>
      <c r="AG53" s="16">
        <f>+AG14-AG21+AG33-AG41-AG46+AG48-AG50</f>
        <v>5997.191000000001</v>
      </c>
      <c r="AH53" s="16">
        <f t="shared" si="6"/>
        <v>24761</v>
      </c>
      <c r="AI53" s="16">
        <f t="shared" si="6"/>
        <v>925709.6389999999</v>
      </c>
      <c r="AJ53" s="16">
        <f t="shared" si="6"/>
        <v>1045527.0889999999</v>
      </c>
      <c r="AK53" s="16">
        <f>+AK14-AK21+AK33-AK41-AK46+AK48-AK50</f>
        <v>139291.89299999995</v>
      </c>
      <c r="AL53" s="16">
        <f t="shared" si="6"/>
        <v>159688.712</v>
      </c>
      <c r="AM53" s="16">
        <f t="shared" si="6"/>
        <v>5458</v>
      </c>
      <c r="AN53" s="16">
        <f t="shared" si="6"/>
        <v>201921</v>
      </c>
      <c r="AO53" s="16"/>
      <c r="AP53" s="147">
        <f t="shared" si="0"/>
        <v>17566005.641400162</v>
      </c>
      <c r="AQ53" s="16"/>
      <c r="AR53" s="16"/>
      <c r="AS53" s="16"/>
      <c r="AT53" s="16"/>
      <c r="AU53" s="16"/>
    </row>
    <row r="54" spans="1:46" ht="11.25" customHeight="1">
      <c r="A54" s="161"/>
      <c r="B54" s="158"/>
      <c r="C54" s="158"/>
      <c r="D54" s="156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7"/>
      <c r="T54" s="157"/>
      <c r="U54" s="157"/>
      <c r="V54" s="157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Q54" s="16"/>
      <c r="AR54" s="16"/>
      <c r="AS54" s="16"/>
      <c r="AT54" s="16"/>
    </row>
    <row r="55" spans="1:47" ht="11.25" customHeight="1" hidden="1" outlineLevel="1">
      <c r="A55" s="160" t="s">
        <v>301</v>
      </c>
      <c r="B55" s="158">
        <f>+B56-B57</f>
        <v>0</v>
      </c>
      <c r="C55" s="158">
        <f aca="true" t="shared" si="7" ref="C55:AN55">+C56-C57</f>
        <v>0</v>
      </c>
      <c r="D55" s="158">
        <f t="shared" si="7"/>
        <v>0</v>
      </c>
      <c r="E55" s="158">
        <f t="shared" si="7"/>
        <v>0</v>
      </c>
      <c r="F55" s="158">
        <f t="shared" si="7"/>
        <v>0</v>
      </c>
      <c r="G55" s="158">
        <f t="shared" si="7"/>
        <v>0</v>
      </c>
      <c r="H55" s="158">
        <f t="shared" si="7"/>
        <v>0</v>
      </c>
      <c r="I55" s="158">
        <f t="shared" si="7"/>
        <v>0</v>
      </c>
      <c r="J55" s="158">
        <f t="shared" si="7"/>
        <v>0</v>
      </c>
      <c r="K55" s="158">
        <f t="shared" si="7"/>
        <v>0</v>
      </c>
      <c r="L55" s="158">
        <f t="shared" si="7"/>
        <v>0</v>
      </c>
      <c r="M55" s="158">
        <f t="shared" si="7"/>
        <v>0</v>
      </c>
      <c r="N55" s="158">
        <f t="shared" si="7"/>
        <v>0</v>
      </c>
      <c r="O55" s="158">
        <f>+O56-O57</f>
        <v>0</v>
      </c>
      <c r="P55" s="158">
        <f>+P56-P57</f>
        <v>0</v>
      </c>
      <c r="Q55" s="158">
        <f>+Q56-Q57</f>
        <v>0</v>
      </c>
      <c r="R55" s="158">
        <f t="shared" si="7"/>
        <v>0</v>
      </c>
      <c r="S55" s="158">
        <f t="shared" si="7"/>
        <v>0</v>
      </c>
      <c r="T55" s="158">
        <f t="shared" si="7"/>
        <v>0</v>
      </c>
      <c r="U55" s="158">
        <f t="shared" si="7"/>
        <v>0</v>
      </c>
      <c r="V55" s="158">
        <f t="shared" si="7"/>
        <v>0</v>
      </c>
      <c r="W55" s="158">
        <f t="shared" si="7"/>
        <v>0</v>
      </c>
      <c r="X55" s="158">
        <f t="shared" si="7"/>
        <v>0</v>
      </c>
      <c r="Y55" s="158">
        <f t="shared" si="7"/>
        <v>0</v>
      </c>
      <c r="Z55" s="158">
        <f t="shared" si="7"/>
        <v>0</v>
      </c>
      <c r="AA55" s="158">
        <f t="shared" si="7"/>
        <v>0</v>
      </c>
      <c r="AB55" s="158">
        <f t="shared" si="7"/>
        <v>0</v>
      </c>
      <c r="AC55" s="158">
        <f t="shared" si="7"/>
        <v>0</v>
      </c>
      <c r="AD55" s="158">
        <f t="shared" si="7"/>
        <v>0</v>
      </c>
      <c r="AE55" s="158">
        <f>+AE56-AE57</f>
        <v>0</v>
      </c>
      <c r="AF55" s="158">
        <f>+AF56-AF57</f>
        <v>0</v>
      </c>
      <c r="AG55" s="158">
        <f>+AG56-AG57</f>
        <v>0</v>
      </c>
      <c r="AH55" s="158">
        <f t="shared" si="7"/>
        <v>0</v>
      </c>
      <c r="AI55" s="158">
        <f t="shared" si="7"/>
        <v>0</v>
      </c>
      <c r="AJ55" s="158">
        <f t="shared" si="7"/>
        <v>0</v>
      </c>
      <c r="AK55" s="158">
        <f>+AK56-AK57</f>
        <v>0</v>
      </c>
      <c r="AL55" s="158">
        <f t="shared" si="7"/>
        <v>0</v>
      </c>
      <c r="AM55" s="158">
        <f t="shared" si="7"/>
        <v>0</v>
      </c>
      <c r="AN55" s="158">
        <f t="shared" si="7"/>
        <v>0</v>
      </c>
      <c r="AO55" s="16"/>
      <c r="AP55" s="147">
        <f t="shared" si="0"/>
        <v>0</v>
      </c>
      <c r="AQ55" s="16"/>
      <c r="AR55" s="16"/>
      <c r="AS55" s="16"/>
      <c r="AT55" s="16"/>
      <c r="AU55" s="16"/>
    </row>
    <row r="56" spans="1:47" ht="11.25" customHeight="1" hidden="1" outlineLevel="1">
      <c r="A56" s="161" t="s">
        <v>302</v>
      </c>
      <c r="B56" s="158">
        <v>0</v>
      </c>
      <c r="C56" s="158">
        <v>0</v>
      </c>
      <c r="D56" s="158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57">
        <v>0</v>
      </c>
      <c r="P56" s="157">
        <v>0</v>
      </c>
      <c r="Q56" s="157">
        <v>0</v>
      </c>
      <c r="R56" s="16">
        <v>0</v>
      </c>
      <c r="S56" s="157">
        <v>0</v>
      </c>
      <c r="T56" s="157">
        <v>0</v>
      </c>
      <c r="U56" s="157">
        <v>0</v>
      </c>
      <c r="V56" s="157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/>
      <c r="AP56" s="147">
        <f t="shared" si="0"/>
        <v>0</v>
      </c>
      <c r="AQ56" s="16"/>
      <c r="AR56" s="16"/>
      <c r="AS56" s="16"/>
      <c r="AT56" s="16"/>
      <c r="AU56" s="16"/>
    </row>
    <row r="57" spans="1:47" ht="11.25" customHeight="1" hidden="1" outlineLevel="1">
      <c r="A57" s="161" t="s">
        <v>303</v>
      </c>
      <c r="B57" s="158">
        <v>0</v>
      </c>
      <c r="C57" s="158">
        <v>0</v>
      </c>
      <c r="D57" s="158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57">
        <v>0</v>
      </c>
      <c r="P57" s="157">
        <v>0</v>
      </c>
      <c r="Q57" s="157">
        <v>0</v>
      </c>
      <c r="R57" s="16">
        <v>0</v>
      </c>
      <c r="S57" s="157">
        <v>0</v>
      </c>
      <c r="T57" s="157">
        <v>0</v>
      </c>
      <c r="U57" s="157">
        <v>0</v>
      </c>
      <c r="V57" s="157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/>
      <c r="AP57" s="147">
        <f t="shared" si="0"/>
        <v>0</v>
      </c>
      <c r="AQ57" s="16"/>
      <c r="AS57" s="16"/>
      <c r="AT57" s="16"/>
      <c r="AU57" s="16"/>
    </row>
    <row r="58" spans="1:46" ht="11.25" customHeight="1" hidden="1" outlineLevel="1">
      <c r="A58" s="160"/>
      <c r="B58" s="158"/>
      <c r="C58" s="158"/>
      <c r="D58" s="156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7"/>
      <c r="T58" s="157"/>
      <c r="U58" s="157"/>
      <c r="V58" s="157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Q58" s="16"/>
      <c r="AR58" s="16"/>
      <c r="AS58" s="16"/>
      <c r="AT58" s="16"/>
    </row>
    <row r="59" spans="1:47" ht="11.25" customHeight="1" hidden="1" outlineLevel="1">
      <c r="A59" s="160" t="s">
        <v>304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57">
        <v>0</v>
      </c>
      <c r="P59" s="157">
        <v>0</v>
      </c>
      <c r="Q59" s="157">
        <v>0</v>
      </c>
      <c r="R59" s="16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/>
      <c r="AP59" s="147">
        <f t="shared" si="0"/>
        <v>0</v>
      </c>
      <c r="AQ59" s="16"/>
      <c r="AR59" s="16"/>
      <c r="AS59" s="16"/>
      <c r="AT59" s="16"/>
      <c r="AU59" s="16"/>
    </row>
    <row r="60" spans="1:46" ht="11.25" customHeight="1" hidden="1" outlineLevel="1">
      <c r="A60" s="160"/>
      <c r="B60" s="158"/>
      <c r="C60" s="158"/>
      <c r="D60" s="156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7"/>
      <c r="T60" s="157"/>
      <c r="U60" s="157"/>
      <c r="V60" s="157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Q60" s="16"/>
      <c r="AR60" s="162"/>
      <c r="AS60" s="16"/>
      <c r="AT60" s="16"/>
    </row>
    <row r="61" spans="1:47" ht="11.25" customHeight="1" collapsed="1">
      <c r="A61" s="160" t="s">
        <v>305</v>
      </c>
      <c r="B61" s="16">
        <f>+B53+B55+B59</f>
        <v>637713</v>
      </c>
      <c r="C61" s="16">
        <f aca="true" t="shared" si="8" ref="C61:AN61">+C53+C55+C59</f>
        <v>236876.6</v>
      </c>
      <c r="D61" s="16">
        <f t="shared" si="8"/>
        <v>70792</v>
      </c>
      <c r="E61" s="16">
        <f t="shared" si="8"/>
        <v>1041156</v>
      </c>
      <c r="F61" s="16">
        <f t="shared" si="8"/>
        <v>91793.67400000001</v>
      </c>
      <c r="G61" s="16">
        <f t="shared" si="8"/>
        <v>318761.12899999996</v>
      </c>
      <c r="H61" s="16">
        <f t="shared" si="8"/>
        <v>48263</v>
      </c>
      <c r="I61" s="16">
        <f t="shared" si="8"/>
        <v>5978</v>
      </c>
      <c r="J61" s="16">
        <f t="shared" si="8"/>
        <v>7185</v>
      </c>
      <c r="K61" s="16">
        <f t="shared" si="8"/>
        <v>42367</v>
      </c>
      <c r="L61" s="16">
        <f t="shared" si="8"/>
        <v>546556</v>
      </c>
      <c r="M61" s="16">
        <f t="shared" si="8"/>
        <v>97206</v>
      </c>
      <c r="N61" s="16">
        <f t="shared" si="8"/>
        <v>374077</v>
      </c>
      <c r="O61" s="16">
        <f>+O53+O55+O59</f>
        <v>4406196</v>
      </c>
      <c r="P61" s="16">
        <f>+P53+P55+P59</f>
        <v>487800.19999999995</v>
      </c>
      <c r="Q61" s="16">
        <f>+Q53+Q55+Q59</f>
        <v>422618</v>
      </c>
      <c r="R61" s="16">
        <f t="shared" si="8"/>
        <v>67506</v>
      </c>
      <c r="S61" s="16">
        <f t="shared" si="8"/>
        <v>1205352.4686911202</v>
      </c>
      <c r="T61" s="16">
        <f t="shared" si="8"/>
        <v>3217712.92979814</v>
      </c>
      <c r="U61" s="16">
        <f t="shared" si="8"/>
        <v>486717.34091090003</v>
      </c>
      <c r="V61" s="16">
        <f t="shared" si="8"/>
        <v>300009.771</v>
      </c>
      <c r="W61" s="16">
        <f t="shared" si="8"/>
        <v>12357</v>
      </c>
      <c r="X61" s="16">
        <f t="shared" si="8"/>
        <v>175155</v>
      </c>
      <c r="Y61" s="16">
        <f t="shared" si="8"/>
        <v>284381</v>
      </c>
      <c r="Z61" s="16">
        <f t="shared" si="8"/>
        <v>30460</v>
      </c>
      <c r="AA61" s="16">
        <f t="shared" si="8"/>
        <v>77737</v>
      </c>
      <c r="AB61" s="16">
        <f t="shared" si="8"/>
        <v>234818</v>
      </c>
      <c r="AC61" s="16">
        <f t="shared" si="8"/>
        <v>9094</v>
      </c>
      <c r="AD61" s="16">
        <f t="shared" si="8"/>
        <v>25542</v>
      </c>
      <c r="AE61" s="16">
        <f>+AE53+AE55+AE59</f>
        <v>84505.367</v>
      </c>
      <c r="AF61" s="16">
        <f>+AF53+AF55+AF59</f>
        <v>10964.636999999999</v>
      </c>
      <c r="AG61" s="16">
        <f>+AG53+AG55+AG59</f>
        <v>5997.191000000001</v>
      </c>
      <c r="AH61" s="16">
        <f t="shared" si="8"/>
        <v>24761</v>
      </c>
      <c r="AI61" s="16">
        <f t="shared" si="8"/>
        <v>925709.6389999999</v>
      </c>
      <c r="AJ61" s="16">
        <f t="shared" si="8"/>
        <v>1045527.0889999999</v>
      </c>
      <c r="AK61" s="16">
        <f>+AK53+AK55+AK59</f>
        <v>139291.89299999995</v>
      </c>
      <c r="AL61" s="16">
        <f t="shared" si="8"/>
        <v>159688.712</v>
      </c>
      <c r="AM61" s="16">
        <f t="shared" si="8"/>
        <v>5458</v>
      </c>
      <c r="AN61" s="16">
        <f t="shared" si="8"/>
        <v>201921</v>
      </c>
      <c r="AO61" s="16"/>
      <c r="AP61" s="147">
        <f t="shared" si="0"/>
        <v>17566005.641400162</v>
      </c>
      <c r="AQ61" s="16"/>
      <c r="AR61" s="16"/>
      <c r="AS61" s="16"/>
      <c r="AT61" s="16"/>
      <c r="AU61" s="16"/>
    </row>
    <row r="62" spans="1:46" ht="11.25" customHeight="1">
      <c r="A62" s="161"/>
      <c r="B62" s="158"/>
      <c r="C62" s="158"/>
      <c r="D62" s="156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7"/>
      <c r="T62" s="157"/>
      <c r="U62" s="157"/>
      <c r="V62" s="157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Q62" s="16"/>
      <c r="AR62" s="16"/>
      <c r="AS62" s="16"/>
      <c r="AT62" s="16"/>
    </row>
    <row r="63" spans="1:47" ht="11.25" customHeight="1">
      <c r="A63" s="160" t="s">
        <v>306</v>
      </c>
      <c r="B63" s="16">
        <v>1708024</v>
      </c>
      <c r="C63" s="16">
        <v>408364.5</v>
      </c>
      <c r="D63" s="16">
        <v>209349.4</v>
      </c>
      <c r="E63" s="16">
        <v>1922591</v>
      </c>
      <c r="F63" s="16">
        <v>207383.673</v>
      </c>
      <c r="G63" s="16">
        <v>436670</v>
      </c>
      <c r="H63" s="16">
        <v>108423</v>
      </c>
      <c r="I63" s="16">
        <v>6313</v>
      </c>
      <c r="J63" s="16">
        <v>15567</v>
      </c>
      <c r="K63" s="16">
        <v>190870</v>
      </c>
      <c r="L63" s="16">
        <v>857760</v>
      </c>
      <c r="M63" s="16">
        <v>192035</v>
      </c>
      <c r="N63" s="16">
        <v>520648</v>
      </c>
      <c r="O63" s="16">
        <f>18885463.4+1647933.4</f>
        <v>20533396.799999997</v>
      </c>
      <c r="P63" s="16">
        <f>865396+512348</f>
        <v>1377744</v>
      </c>
      <c r="Q63" s="16">
        <f>2960169.5+368218.5</f>
        <v>3328388</v>
      </c>
      <c r="R63" s="16">
        <v>130634</v>
      </c>
      <c r="S63" s="157">
        <v>3898257.49604</v>
      </c>
      <c r="T63" s="157">
        <v>15566918.92816</v>
      </c>
      <c r="U63" s="157">
        <v>1153276.6403299998</v>
      </c>
      <c r="V63" s="157">
        <v>637904.86997</v>
      </c>
      <c r="W63" s="16">
        <v>136130</v>
      </c>
      <c r="X63" s="16">
        <v>245868</v>
      </c>
      <c r="Y63" s="16">
        <v>1038828</v>
      </c>
      <c r="Z63" s="16">
        <v>30231</v>
      </c>
      <c r="AA63" s="16">
        <v>106372</v>
      </c>
      <c r="AB63" s="16">
        <v>556963</v>
      </c>
      <c r="AC63" s="16">
        <v>15965</v>
      </c>
      <c r="AD63" s="16">
        <v>42656</v>
      </c>
      <c r="AE63" s="16">
        <v>221119.137</v>
      </c>
      <c r="AF63" s="16">
        <v>36491.821</v>
      </c>
      <c r="AG63" s="16">
        <v>24770</v>
      </c>
      <c r="AH63" s="16">
        <v>39177</v>
      </c>
      <c r="AI63" s="16">
        <v>2503919.324</v>
      </c>
      <c r="AJ63" s="16">
        <v>3563894.562</v>
      </c>
      <c r="AK63" s="16">
        <v>959044.149</v>
      </c>
      <c r="AL63" s="16">
        <v>0</v>
      </c>
      <c r="AM63" s="16">
        <v>8103</v>
      </c>
      <c r="AN63" s="16">
        <v>1454909</v>
      </c>
      <c r="AO63" s="16"/>
      <c r="AP63" s="147">
        <f t="shared" si="0"/>
        <v>64394960.3005</v>
      </c>
      <c r="AQ63" s="16"/>
      <c r="AR63" s="16"/>
      <c r="AS63" s="16"/>
      <c r="AT63" s="16"/>
      <c r="AU63" s="16"/>
    </row>
    <row r="64" spans="1:46" ht="11.25" customHeight="1">
      <c r="A64" s="160"/>
      <c r="B64" s="158"/>
      <c r="C64" s="158"/>
      <c r="D64" s="156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7"/>
      <c r="T64" s="157"/>
      <c r="U64" s="157"/>
      <c r="V64" s="157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Q64" s="16"/>
      <c r="AS64" s="16"/>
      <c r="AT64" s="16"/>
    </row>
    <row r="65" spans="1:46" ht="11.25" customHeight="1">
      <c r="A65" s="163"/>
      <c r="B65" s="16"/>
      <c r="C65" s="158"/>
      <c r="D65" s="156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7"/>
      <c r="T65" s="157"/>
      <c r="U65" s="157"/>
      <c r="V65" s="157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Q65" s="16"/>
      <c r="AS65" s="16"/>
      <c r="AT65" s="16"/>
    </row>
    <row r="66" spans="1:47" s="59" customFormat="1" ht="11.25" customHeight="1">
      <c r="A66" s="222" t="s">
        <v>420</v>
      </c>
      <c r="B66" s="14">
        <f>+B61+B63</f>
        <v>2345737</v>
      </c>
      <c r="C66" s="14">
        <f aca="true" t="shared" si="9" ref="C66:AN66">+C61+C63</f>
        <v>645241.1</v>
      </c>
      <c r="D66" s="14">
        <f t="shared" si="9"/>
        <v>280141.4</v>
      </c>
      <c r="E66" s="14">
        <f t="shared" si="9"/>
        <v>2963747</v>
      </c>
      <c r="F66" s="14">
        <f t="shared" si="9"/>
        <v>299177.347</v>
      </c>
      <c r="G66" s="14">
        <f t="shared" si="9"/>
        <v>755431.129</v>
      </c>
      <c r="H66" s="14">
        <f t="shared" si="9"/>
        <v>156686</v>
      </c>
      <c r="I66" s="14">
        <f t="shared" si="9"/>
        <v>12291</v>
      </c>
      <c r="J66" s="14">
        <f t="shared" si="9"/>
        <v>22752</v>
      </c>
      <c r="K66" s="14">
        <f t="shared" si="9"/>
        <v>233237</v>
      </c>
      <c r="L66" s="14">
        <f t="shared" si="9"/>
        <v>1404316</v>
      </c>
      <c r="M66" s="14">
        <f t="shared" si="9"/>
        <v>289241</v>
      </c>
      <c r="N66" s="14">
        <f t="shared" si="9"/>
        <v>894725</v>
      </c>
      <c r="O66" s="14">
        <f>+O61+O63</f>
        <v>24939592.799999997</v>
      </c>
      <c r="P66" s="14">
        <f>+P61+P63</f>
        <v>1865544.2</v>
      </c>
      <c r="Q66" s="14">
        <f>+Q61+Q63</f>
        <v>3751006</v>
      </c>
      <c r="R66" s="14">
        <f t="shared" si="9"/>
        <v>198140</v>
      </c>
      <c r="S66" s="14">
        <f t="shared" si="9"/>
        <v>5103609.9647311205</v>
      </c>
      <c r="T66" s="14">
        <f t="shared" si="9"/>
        <v>18784631.85795814</v>
      </c>
      <c r="U66" s="14">
        <f t="shared" si="9"/>
        <v>1639993.9812408998</v>
      </c>
      <c r="V66" s="14">
        <f t="shared" si="9"/>
        <v>937914.6409700001</v>
      </c>
      <c r="W66" s="14">
        <f t="shared" si="9"/>
        <v>148487</v>
      </c>
      <c r="X66" s="14">
        <f t="shared" si="9"/>
        <v>421023</v>
      </c>
      <c r="Y66" s="14">
        <f t="shared" si="9"/>
        <v>1323209</v>
      </c>
      <c r="Z66" s="14">
        <f t="shared" si="9"/>
        <v>60691</v>
      </c>
      <c r="AA66" s="14">
        <f t="shared" si="9"/>
        <v>184109</v>
      </c>
      <c r="AB66" s="14">
        <f t="shared" si="9"/>
        <v>791781</v>
      </c>
      <c r="AC66" s="14">
        <f t="shared" si="9"/>
        <v>25059</v>
      </c>
      <c r="AD66" s="14">
        <f t="shared" si="9"/>
        <v>68198</v>
      </c>
      <c r="AE66" s="14">
        <f>+AE61+AE63</f>
        <v>305624.50399999996</v>
      </c>
      <c r="AF66" s="14">
        <f>+AF61+AF63</f>
        <v>47456.458</v>
      </c>
      <c r="AG66" s="14">
        <f>+AG61+AG63</f>
        <v>30767.191</v>
      </c>
      <c r="AH66" s="14">
        <f t="shared" si="9"/>
        <v>63938</v>
      </c>
      <c r="AI66" s="14">
        <f t="shared" si="9"/>
        <v>3429628.963</v>
      </c>
      <c r="AJ66" s="14">
        <f t="shared" si="9"/>
        <v>4609421.651</v>
      </c>
      <c r="AK66" s="14">
        <f>+AK61+AK63</f>
        <v>1098336.042</v>
      </c>
      <c r="AL66" s="14">
        <f t="shared" si="9"/>
        <v>159688.712</v>
      </c>
      <c r="AM66" s="14">
        <f t="shared" si="9"/>
        <v>13561</v>
      </c>
      <c r="AN66" s="14">
        <f t="shared" si="9"/>
        <v>1656830</v>
      </c>
      <c r="AO66" s="14"/>
      <c r="AP66" s="59">
        <f t="shared" si="0"/>
        <v>81960965.94190015</v>
      </c>
      <c r="AQ66" s="14"/>
      <c r="AS66" s="14"/>
      <c r="AT66" s="14"/>
      <c r="AU66" s="14"/>
    </row>
    <row r="67" spans="2:43" ht="11.25" customHeight="1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</row>
    <row r="68" spans="1:43" ht="16.5" customHeight="1">
      <c r="A68" s="178" t="s">
        <v>397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</row>
    <row r="69" ht="11.25" customHeight="1">
      <c r="A69" s="165" t="s">
        <v>396</v>
      </c>
    </row>
    <row r="70" spans="1:47" s="168" customFormat="1" ht="11.25" customHeight="1" hidden="1" outlineLevel="1">
      <c r="A70" s="166" t="s">
        <v>225</v>
      </c>
      <c r="B70" s="157">
        <v>0</v>
      </c>
      <c r="C70" s="157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7">
        <v>0</v>
      </c>
      <c r="AO70" s="16"/>
      <c r="AP70" s="147">
        <f aca="true" t="shared" si="10" ref="AP70:AP100">SUM(B70:AN70)</f>
        <v>0</v>
      </c>
      <c r="AQ70" s="16"/>
      <c r="AR70" s="16"/>
      <c r="AS70" s="16"/>
      <c r="AT70" s="16"/>
      <c r="AU70" s="16"/>
    </row>
    <row r="71" spans="1:46" s="168" customFormat="1" ht="11.25" customHeight="1" hidden="1" outlineLevel="1">
      <c r="A71" s="169"/>
      <c r="B71" s="157"/>
      <c r="C71" s="158"/>
      <c r="D71" s="159"/>
      <c r="E71" s="167"/>
      <c r="K71" s="167"/>
      <c r="L71" s="167"/>
      <c r="M71" s="167"/>
      <c r="N71" s="167"/>
      <c r="O71" s="159"/>
      <c r="P71" s="159"/>
      <c r="Q71" s="159"/>
      <c r="R71" s="167"/>
      <c r="S71" s="158"/>
      <c r="T71" s="158"/>
      <c r="U71" s="158"/>
      <c r="V71" s="158"/>
      <c r="AB71" s="167"/>
      <c r="AC71" s="167"/>
      <c r="AD71" s="167"/>
      <c r="AE71" s="167"/>
      <c r="AF71" s="167"/>
      <c r="AG71" s="167"/>
      <c r="AH71" s="159"/>
      <c r="AM71" s="167"/>
      <c r="AP71" s="147"/>
      <c r="AQ71" s="16"/>
      <c r="AR71" s="16"/>
      <c r="AS71" s="16"/>
      <c r="AT71" s="16"/>
    </row>
    <row r="72" spans="1:46" s="168" customFormat="1" ht="11.25" customHeight="1" hidden="1" outlineLevel="1">
      <c r="A72" s="169" t="s">
        <v>226</v>
      </c>
      <c r="B72" s="157"/>
      <c r="C72" s="158"/>
      <c r="D72" s="159"/>
      <c r="E72" s="167"/>
      <c r="K72" s="167"/>
      <c r="L72" s="167"/>
      <c r="M72" s="167"/>
      <c r="N72" s="167"/>
      <c r="O72" s="159"/>
      <c r="P72" s="159"/>
      <c r="Q72" s="159"/>
      <c r="R72" s="167"/>
      <c r="S72" s="158"/>
      <c r="T72" s="158"/>
      <c r="U72" s="158"/>
      <c r="V72" s="158"/>
      <c r="W72" s="168">
        <v>0</v>
      </c>
      <c r="X72" s="168">
        <v>0</v>
      </c>
      <c r="AB72" s="167">
        <v>0</v>
      </c>
      <c r="AC72" s="167"/>
      <c r="AD72" s="167"/>
      <c r="AE72" s="167"/>
      <c r="AF72" s="167"/>
      <c r="AG72" s="167"/>
      <c r="AH72" s="159"/>
      <c r="AM72" s="167"/>
      <c r="AP72" s="147"/>
      <c r="AQ72" s="16"/>
      <c r="AR72" s="16"/>
      <c r="AS72" s="16"/>
      <c r="AT72" s="16"/>
    </row>
    <row r="73" spans="1:47" s="168" customFormat="1" ht="11.25" customHeight="1" hidden="1" outlineLevel="1">
      <c r="A73" s="148" t="s">
        <v>227</v>
      </c>
      <c r="B73" s="157">
        <v>0</v>
      </c>
      <c r="C73" s="157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6"/>
      <c r="P73" s="16"/>
      <c r="Q73" s="16"/>
      <c r="R73" s="157">
        <v>0</v>
      </c>
      <c r="S73" s="16">
        <v>0</v>
      </c>
      <c r="T73" s="16">
        <v>0</v>
      </c>
      <c r="U73" s="16">
        <v>0</v>
      </c>
      <c r="V73" s="16">
        <v>0</v>
      </c>
      <c r="W73" s="168">
        <v>0</v>
      </c>
      <c r="X73" s="168">
        <v>0</v>
      </c>
      <c r="Y73" s="16">
        <v>4017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/>
      <c r="AP73" s="147">
        <f t="shared" si="10"/>
        <v>4017</v>
      </c>
      <c r="AQ73" s="16"/>
      <c r="AR73" s="16"/>
      <c r="AS73" s="16"/>
      <c r="AT73" s="16"/>
      <c r="AU73" s="157"/>
    </row>
    <row r="74" spans="1:47" s="168" customFormat="1" ht="11.25" customHeight="1" hidden="1" outlineLevel="1">
      <c r="A74" s="148" t="s">
        <v>228</v>
      </c>
      <c r="B74" s="157">
        <v>0</v>
      </c>
      <c r="C74" s="157">
        <v>0</v>
      </c>
      <c r="D74" s="157">
        <v>0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v>0</v>
      </c>
      <c r="L74" s="157">
        <v>0</v>
      </c>
      <c r="M74" s="157">
        <v>0</v>
      </c>
      <c r="N74" s="157">
        <v>0</v>
      </c>
      <c r="O74" s="16"/>
      <c r="P74" s="16"/>
      <c r="Q74" s="16"/>
      <c r="R74" s="157">
        <v>0</v>
      </c>
      <c r="S74" s="16">
        <v>0</v>
      </c>
      <c r="T74" s="16">
        <v>0</v>
      </c>
      <c r="U74" s="16">
        <v>0</v>
      </c>
      <c r="V74" s="16">
        <v>0</v>
      </c>
      <c r="W74" s="168">
        <v>0</v>
      </c>
      <c r="X74" s="168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57">
        <v>0</v>
      </c>
      <c r="AF74" s="157">
        <v>0</v>
      </c>
      <c r="AG74" s="157">
        <v>0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0</v>
      </c>
      <c r="AN74" s="157">
        <v>0</v>
      </c>
      <c r="AO74" s="157"/>
      <c r="AP74" s="147">
        <f t="shared" si="10"/>
        <v>0</v>
      </c>
      <c r="AQ74" s="16"/>
      <c r="AR74" s="16"/>
      <c r="AS74" s="16"/>
      <c r="AT74" s="16"/>
      <c r="AU74" s="157"/>
    </row>
    <row r="75" spans="1:47" s="168" customFormat="1" ht="11.25" customHeight="1" hidden="1" outlineLevel="1">
      <c r="A75" s="148" t="s">
        <v>229</v>
      </c>
      <c r="B75" s="157">
        <v>0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6"/>
      <c r="P75" s="16"/>
      <c r="Q75" s="16"/>
      <c r="R75" s="157">
        <v>0</v>
      </c>
      <c r="S75" s="16">
        <v>0</v>
      </c>
      <c r="T75" s="16">
        <v>0</v>
      </c>
      <c r="U75" s="16">
        <v>0</v>
      </c>
      <c r="V75" s="16">
        <v>0</v>
      </c>
      <c r="W75" s="168">
        <v>0</v>
      </c>
      <c r="X75" s="168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0</v>
      </c>
      <c r="AO75" s="157"/>
      <c r="AP75" s="147">
        <f t="shared" si="10"/>
        <v>0</v>
      </c>
      <c r="AQ75" s="16"/>
      <c r="AR75" s="16"/>
      <c r="AS75" s="16"/>
      <c r="AT75" s="16"/>
      <c r="AU75" s="157"/>
    </row>
    <row r="76" spans="1:47" s="168" customFormat="1" ht="11.25" customHeight="1" hidden="1" outlineLevel="1">
      <c r="A76" s="148" t="s">
        <v>230</v>
      </c>
      <c r="B76" s="157">
        <v>0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6"/>
      <c r="P76" s="16"/>
      <c r="Q76" s="16"/>
      <c r="R76" s="157">
        <v>0</v>
      </c>
      <c r="S76" s="16">
        <v>0</v>
      </c>
      <c r="T76" s="16">
        <v>0</v>
      </c>
      <c r="U76" s="16">
        <v>0</v>
      </c>
      <c r="V76" s="16">
        <v>0</v>
      </c>
      <c r="W76" s="168">
        <v>0</v>
      </c>
      <c r="X76" s="168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0</v>
      </c>
      <c r="AN76" s="157">
        <v>0</v>
      </c>
      <c r="AO76" s="157"/>
      <c r="AP76" s="147">
        <f t="shared" si="10"/>
        <v>0</v>
      </c>
      <c r="AQ76" s="16"/>
      <c r="AR76" s="16"/>
      <c r="AS76" s="16"/>
      <c r="AT76" s="16"/>
      <c r="AU76" s="157"/>
    </row>
    <row r="77" spans="1:47" s="168" customFormat="1" ht="11.25" customHeight="1" hidden="1" outlineLevel="1">
      <c r="A77" s="148" t="s">
        <v>231</v>
      </c>
      <c r="B77" s="157">
        <v>0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0</v>
      </c>
      <c r="O77" s="16"/>
      <c r="P77" s="16"/>
      <c r="Q77" s="16"/>
      <c r="R77" s="157">
        <v>0</v>
      </c>
      <c r="S77" s="16">
        <v>0</v>
      </c>
      <c r="T77" s="16">
        <v>0</v>
      </c>
      <c r="U77" s="16">
        <v>0</v>
      </c>
      <c r="V77" s="16">
        <v>0</v>
      </c>
      <c r="W77" s="168">
        <v>0</v>
      </c>
      <c r="X77" s="168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/>
      <c r="AP77" s="147">
        <f t="shared" si="10"/>
        <v>0</v>
      </c>
      <c r="AQ77" s="16"/>
      <c r="AR77" s="16"/>
      <c r="AS77" s="16"/>
      <c r="AT77" s="16"/>
      <c r="AU77" s="157"/>
    </row>
    <row r="78" spans="1:47" s="168" customFormat="1" ht="11.25" customHeight="1" hidden="1" outlineLevel="1">
      <c r="A78" s="148" t="s">
        <v>232</v>
      </c>
      <c r="B78" s="157">
        <v>0</v>
      </c>
      <c r="C78" s="157">
        <v>0</v>
      </c>
      <c r="D78" s="157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0</v>
      </c>
      <c r="O78" s="16"/>
      <c r="P78" s="16"/>
      <c r="Q78" s="16"/>
      <c r="R78" s="157">
        <v>0</v>
      </c>
      <c r="S78" s="16">
        <v>0</v>
      </c>
      <c r="T78" s="16">
        <v>0</v>
      </c>
      <c r="U78" s="16">
        <v>0</v>
      </c>
      <c r="V78" s="16">
        <v>0</v>
      </c>
      <c r="W78" s="168">
        <v>0</v>
      </c>
      <c r="X78" s="168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57">
        <v>0</v>
      </c>
      <c r="AF78" s="157">
        <v>0</v>
      </c>
      <c r="AG78" s="157">
        <v>0</v>
      </c>
      <c r="AH78" s="157">
        <v>0</v>
      </c>
      <c r="AI78" s="157">
        <v>0</v>
      </c>
      <c r="AJ78" s="157">
        <v>0</v>
      </c>
      <c r="AK78" s="157">
        <v>0</v>
      </c>
      <c r="AL78" s="157">
        <v>0</v>
      </c>
      <c r="AM78" s="157">
        <v>0</v>
      </c>
      <c r="AN78" s="157">
        <v>0</v>
      </c>
      <c r="AO78" s="157"/>
      <c r="AP78" s="147">
        <f t="shared" si="10"/>
        <v>0</v>
      </c>
      <c r="AQ78" s="16"/>
      <c r="AR78" s="16"/>
      <c r="AS78" s="16"/>
      <c r="AT78" s="16"/>
      <c r="AU78" s="157"/>
    </row>
    <row r="79" spans="1:47" s="168" customFormat="1" ht="11.25" customHeight="1" hidden="1" outlineLevel="1">
      <c r="A79" s="148"/>
      <c r="B79" s="157"/>
      <c r="C79" s="158"/>
      <c r="D79" s="159"/>
      <c r="E79" s="159"/>
      <c r="K79" s="159"/>
      <c r="L79" s="159"/>
      <c r="M79" s="159"/>
      <c r="N79" s="159"/>
      <c r="O79" s="159"/>
      <c r="P79" s="159"/>
      <c r="Q79" s="159"/>
      <c r="R79" s="159"/>
      <c r="S79" s="158"/>
      <c r="T79" s="158"/>
      <c r="U79" s="158"/>
      <c r="V79" s="158"/>
      <c r="Y79" s="159"/>
      <c r="AB79" s="159"/>
      <c r="AC79" s="159"/>
      <c r="AD79" s="159"/>
      <c r="AE79" s="159"/>
      <c r="AF79" s="159"/>
      <c r="AG79" s="159"/>
      <c r="AH79" s="159"/>
      <c r="AM79" s="159"/>
      <c r="AP79" s="147"/>
      <c r="AQ79" s="16"/>
      <c r="AR79" s="16"/>
      <c r="AS79" s="16"/>
      <c r="AT79" s="16"/>
      <c r="AU79" s="157"/>
    </row>
    <row r="80" spans="1:47" s="168" customFormat="1" ht="11.25" customHeight="1" hidden="1" outlineLevel="1">
      <c r="A80" s="170" t="s">
        <v>233</v>
      </c>
      <c r="B80" s="157"/>
      <c r="C80" s="158"/>
      <c r="D80" s="159"/>
      <c r="E80" s="159"/>
      <c r="K80" s="159"/>
      <c r="L80" s="159"/>
      <c r="M80" s="159"/>
      <c r="N80" s="159"/>
      <c r="O80" s="159"/>
      <c r="P80" s="159"/>
      <c r="Q80" s="159"/>
      <c r="R80" s="159"/>
      <c r="S80" s="158"/>
      <c r="T80" s="158"/>
      <c r="U80" s="158"/>
      <c r="V80" s="158"/>
      <c r="Y80" s="159"/>
      <c r="AB80" s="159"/>
      <c r="AC80" s="159"/>
      <c r="AD80" s="159"/>
      <c r="AE80" s="159"/>
      <c r="AF80" s="159"/>
      <c r="AG80" s="159"/>
      <c r="AH80" s="159"/>
      <c r="AM80" s="159"/>
      <c r="AP80" s="147"/>
      <c r="AQ80" s="16"/>
      <c r="AR80" s="16"/>
      <c r="AS80" s="16"/>
      <c r="AT80" s="16"/>
      <c r="AU80" s="157"/>
    </row>
    <row r="81" spans="1:47" s="168" customFormat="1" ht="11.25" customHeight="1" hidden="1" outlineLevel="1">
      <c r="A81" s="148" t="s">
        <v>234</v>
      </c>
      <c r="B81" s="157">
        <v>2151217</v>
      </c>
      <c r="C81" s="171">
        <v>570862</v>
      </c>
      <c r="D81" s="171">
        <v>0</v>
      </c>
      <c r="E81" s="157">
        <v>1231289</v>
      </c>
      <c r="F81" s="157">
        <v>79191</v>
      </c>
      <c r="G81" s="157">
        <v>130734</v>
      </c>
      <c r="H81" s="157">
        <v>145636</v>
      </c>
      <c r="I81" s="157">
        <v>11936</v>
      </c>
      <c r="J81" s="157">
        <v>0</v>
      </c>
      <c r="K81" s="157">
        <v>95919</v>
      </c>
      <c r="L81" s="157">
        <v>0</v>
      </c>
      <c r="M81" s="157">
        <v>62908</v>
      </c>
      <c r="N81" s="157">
        <v>407114</v>
      </c>
      <c r="O81" s="157">
        <v>11950856</v>
      </c>
      <c r="P81" s="157">
        <v>878090</v>
      </c>
      <c r="Q81" s="157">
        <v>0</v>
      </c>
      <c r="R81" s="157">
        <v>198103</v>
      </c>
      <c r="S81" s="157">
        <v>3597109.664</v>
      </c>
      <c r="T81" s="157">
        <v>15637313.86</v>
      </c>
      <c r="U81" s="157">
        <v>1394653.153</v>
      </c>
      <c r="V81" s="157">
        <v>0</v>
      </c>
      <c r="W81" s="157">
        <v>51081</v>
      </c>
      <c r="X81" s="157">
        <v>0</v>
      </c>
      <c r="Y81" s="157">
        <v>447256</v>
      </c>
      <c r="Z81" s="157">
        <v>59974</v>
      </c>
      <c r="AA81" s="157">
        <v>118570.481</v>
      </c>
      <c r="AB81" s="157">
        <v>418893</v>
      </c>
      <c r="AC81" s="157">
        <v>6871</v>
      </c>
      <c r="AD81" s="157">
        <v>34771</v>
      </c>
      <c r="AE81" s="157">
        <v>244580.147</v>
      </c>
      <c r="AF81" s="157">
        <v>47106</v>
      </c>
      <c r="AG81" s="157">
        <v>0</v>
      </c>
      <c r="AH81" s="157">
        <v>19160</v>
      </c>
      <c r="AI81" s="157">
        <v>3148010.367</v>
      </c>
      <c r="AJ81" s="157">
        <v>4480099.553</v>
      </c>
      <c r="AK81" s="157">
        <v>1129751.353</v>
      </c>
      <c r="AL81" s="157">
        <v>0</v>
      </c>
      <c r="AM81" s="157">
        <v>3510</v>
      </c>
      <c r="AN81" s="157">
        <v>1432539</v>
      </c>
      <c r="AO81" s="157"/>
      <c r="AP81" s="147">
        <f t="shared" si="10"/>
        <v>50185104.578</v>
      </c>
      <c r="AQ81" s="16"/>
      <c r="AR81" s="16"/>
      <c r="AS81" s="16"/>
      <c r="AT81" s="16"/>
      <c r="AU81" s="157"/>
    </row>
    <row r="82" spans="1:47" s="168" customFormat="1" ht="11.25" customHeight="1" hidden="1" outlineLevel="1">
      <c r="A82" s="148" t="s">
        <v>235</v>
      </c>
      <c r="B82" s="157">
        <v>133199</v>
      </c>
      <c r="C82" s="171">
        <v>56203</v>
      </c>
      <c r="D82" s="171">
        <v>0</v>
      </c>
      <c r="E82" s="157">
        <v>1176518</v>
      </c>
      <c r="F82" s="157">
        <v>200157</v>
      </c>
      <c r="G82" s="157">
        <v>584757</v>
      </c>
      <c r="H82" s="157">
        <v>6387</v>
      </c>
      <c r="I82" s="157">
        <v>0</v>
      </c>
      <c r="J82" s="157">
        <v>0</v>
      </c>
      <c r="K82" s="157">
        <v>82220</v>
      </c>
      <c r="L82" s="157">
        <v>765678</v>
      </c>
      <c r="M82" s="157">
        <v>220906</v>
      </c>
      <c r="N82" s="157">
        <v>471757</v>
      </c>
      <c r="O82" s="157">
        <v>12744268</v>
      </c>
      <c r="P82" s="157">
        <v>982670</v>
      </c>
      <c r="Q82" s="157">
        <v>0</v>
      </c>
      <c r="R82" s="157">
        <v>0</v>
      </c>
      <c r="S82" s="157">
        <v>1249013.2397926203</v>
      </c>
      <c r="T82" s="157">
        <v>1907999.1868785864</v>
      </c>
      <c r="U82" s="157">
        <v>145883.19189594756</v>
      </c>
      <c r="V82" s="157">
        <v>0</v>
      </c>
      <c r="W82" s="157">
        <v>30529</v>
      </c>
      <c r="X82" s="157">
        <v>128892</v>
      </c>
      <c r="Y82" s="157">
        <v>680895</v>
      </c>
      <c r="Z82" s="157">
        <v>0</v>
      </c>
      <c r="AA82" s="157">
        <v>49686.249</v>
      </c>
      <c r="AB82" s="157">
        <v>249167</v>
      </c>
      <c r="AC82" s="157">
        <v>17496</v>
      </c>
      <c r="AD82" s="157">
        <v>32042</v>
      </c>
      <c r="AE82" s="157">
        <v>57007.126</v>
      </c>
      <c r="AF82" s="157">
        <v>0</v>
      </c>
      <c r="AG82" s="157">
        <v>0</v>
      </c>
      <c r="AH82" s="157">
        <v>40342</v>
      </c>
      <c r="AI82" s="157">
        <v>159340.817</v>
      </c>
      <c r="AJ82" s="157">
        <v>127352.665</v>
      </c>
      <c r="AK82" s="157">
        <v>45782.258</v>
      </c>
      <c r="AL82" s="157">
        <v>0</v>
      </c>
      <c r="AM82" s="157">
        <v>9793</v>
      </c>
      <c r="AN82" s="157">
        <v>63040</v>
      </c>
      <c r="AO82" s="157"/>
      <c r="AP82" s="147">
        <f t="shared" si="10"/>
        <v>22418980.733567156</v>
      </c>
      <c r="AQ82" s="16"/>
      <c r="AR82" s="16"/>
      <c r="AS82" s="16"/>
      <c r="AT82" s="16"/>
      <c r="AU82" s="157"/>
    </row>
    <row r="83" spans="1:47" s="168" customFormat="1" ht="11.25" customHeight="1" hidden="1" outlineLevel="1">
      <c r="A83" s="16" t="s">
        <v>236</v>
      </c>
      <c r="B83" s="157">
        <v>0</v>
      </c>
      <c r="C83" s="157">
        <v>0</v>
      </c>
      <c r="D83" s="157">
        <v>0</v>
      </c>
      <c r="E83" s="157">
        <v>468578</v>
      </c>
      <c r="F83" s="157">
        <v>0</v>
      </c>
      <c r="G83" s="157">
        <v>0</v>
      </c>
      <c r="H83" s="157">
        <v>0</v>
      </c>
      <c r="I83" s="157">
        <v>0</v>
      </c>
      <c r="J83" s="157">
        <v>0</v>
      </c>
      <c r="K83" s="157">
        <v>53233</v>
      </c>
      <c r="L83" s="157">
        <v>628065</v>
      </c>
      <c r="M83" s="157">
        <v>0</v>
      </c>
      <c r="N83" s="157">
        <v>0</v>
      </c>
      <c r="O83" s="157">
        <v>80459</v>
      </c>
      <c r="P83" s="157">
        <v>0</v>
      </c>
      <c r="Q83" s="157">
        <v>0</v>
      </c>
      <c r="R83" s="157">
        <v>0</v>
      </c>
      <c r="S83" s="157">
        <v>211707.1557873797</v>
      </c>
      <c r="T83" s="157">
        <v>1133877.5009014134</v>
      </c>
      <c r="U83" s="157">
        <v>91044.60366405245</v>
      </c>
      <c r="V83" s="157">
        <v>0</v>
      </c>
      <c r="W83" s="157">
        <v>61123</v>
      </c>
      <c r="X83" s="157">
        <v>258055</v>
      </c>
      <c r="Y83" s="157">
        <v>141478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157">
        <v>64780</v>
      </c>
      <c r="AO83" s="157"/>
      <c r="AP83" s="147">
        <f t="shared" si="10"/>
        <v>3192400.260352846</v>
      </c>
      <c r="AQ83" s="16"/>
      <c r="AR83" s="16"/>
      <c r="AS83" s="16"/>
      <c r="AT83" s="16"/>
      <c r="AU83" s="157"/>
    </row>
    <row r="84" spans="1:47" s="168" customFormat="1" ht="11.25" customHeight="1" hidden="1" outlineLevel="1">
      <c r="A84" s="16" t="s">
        <v>237</v>
      </c>
      <c r="B84" s="157">
        <v>0</v>
      </c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68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7">
        <v>0</v>
      </c>
      <c r="W84" s="157">
        <v>0</v>
      </c>
      <c r="X84" s="157">
        <v>0</v>
      </c>
      <c r="Y84" s="157">
        <v>809</v>
      </c>
      <c r="Z84" s="157">
        <v>0</v>
      </c>
      <c r="AA84" s="157">
        <v>0</v>
      </c>
      <c r="AB84" s="157">
        <v>0</v>
      </c>
      <c r="AC84" s="157">
        <v>0</v>
      </c>
      <c r="AD84" s="157">
        <v>0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57"/>
      <c r="AP84" s="147">
        <f t="shared" si="10"/>
        <v>809</v>
      </c>
      <c r="AQ84" s="16"/>
      <c r="AR84" s="16"/>
      <c r="AS84" s="16"/>
      <c r="AT84" s="16"/>
      <c r="AU84" s="157"/>
    </row>
    <row r="85" spans="1:47" s="168" customFormat="1" ht="11.25" customHeight="1" hidden="1" outlineLevel="1">
      <c r="A85" s="148" t="s">
        <v>238</v>
      </c>
      <c r="B85" s="157">
        <v>0</v>
      </c>
      <c r="C85" s="168">
        <v>0</v>
      </c>
      <c r="D85" s="171">
        <v>277878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22393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  <c r="Q85" s="157">
        <v>3753678</v>
      </c>
      <c r="R85" s="157">
        <v>0</v>
      </c>
      <c r="S85" s="157">
        <v>0</v>
      </c>
      <c r="T85" s="157">
        <v>0</v>
      </c>
      <c r="U85" s="157">
        <v>0</v>
      </c>
      <c r="V85" s="157">
        <v>935578.804</v>
      </c>
      <c r="W85" s="157">
        <v>0</v>
      </c>
      <c r="X85" s="157">
        <v>0</v>
      </c>
      <c r="Y85" s="157">
        <v>10671</v>
      </c>
      <c r="Z85" s="157">
        <v>0</v>
      </c>
      <c r="AA85" s="157">
        <v>0</v>
      </c>
      <c r="AB85" s="157">
        <v>2561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159688.712</v>
      </c>
      <c r="AM85" s="157">
        <v>0</v>
      </c>
      <c r="AN85" s="157">
        <v>0</v>
      </c>
      <c r="AO85" s="157"/>
      <c r="AP85" s="147">
        <f t="shared" si="10"/>
        <v>5162448.516</v>
      </c>
      <c r="AQ85" s="16"/>
      <c r="AR85" s="16"/>
      <c r="AS85" s="16"/>
      <c r="AT85" s="16"/>
      <c r="AU85" s="157"/>
    </row>
    <row r="86" spans="1:47" s="168" customFormat="1" ht="11.25" customHeight="1" hidden="1" outlineLevel="1">
      <c r="A86" s="16" t="s">
        <v>233</v>
      </c>
      <c r="B86" s="157">
        <v>0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7">
        <v>0</v>
      </c>
      <c r="W86" s="157">
        <v>0</v>
      </c>
      <c r="X86" s="157">
        <v>0</v>
      </c>
      <c r="Y86" s="157">
        <v>3092</v>
      </c>
      <c r="Z86" s="157">
        <v>0</v>
      </c>
      <c r="AA86" s="157">
        <v>0</v>
      </c>
      <c r="AB86" s="157">
        <v>0</v>
      </c>
      <c r="AC86" s="157">
        <v>0</v>
      </c>
      <c r="AD86" s="157">
        <v>0</v>
      </c>
      <c r="AE86" s="157">
        <v>0</v>
      </c>
      <c r="AF86" s="157">
        <v>0</v>
      </c>
      <c r="AG86" s="157">
        <v>31235.537</v>
      </c>
      <c r="AH86" s="157">
        <v>0</v>
      </c>
      <c r="AI86" s="157">
        <v>0</v>
      </c>
      <c r="AJ86" s="157">
        <v>0</v>
      </c>
      <c r="AK86" s="157">
        <v>0</v>
      </c>
      <c r="AL86" s="157">
        <v>0</v>
      </c>
      <c r="AM86" s="157">
        <v>0</v>
      </c>
      <c r="AN86" s="157">
        <v>0</v>
      </c>
      <c r="AO86" s="157"/>
      <c r="AP86" s="147">
        <f t="shared" si="10"/>
        <v>34327.537</v>
      </c>
      <c r="AQ86" s="16"/>
      <c r="AR86" s="16"/>
      <c r="AS86" s="16"/>
      <c r="AT86" s="16"/>
      <c r="AU86" s="157"/>
    </row>
    <row r="87" spans="1:47" s="168" customFormat="1" ht="11.25" customHeight="1" hidden="1" outlineLevel="1">
      <c r="A87" s="223" t="s">
        <v>239</v>
      </c>
      <c r="B87" s="16">
        <f>SUM(B81:B86)</f>
        <v>2284416</v>
      </c>
      <c r="C87" s="16">
        <f>SUM(C81:C86)</f>
        <v>627065</v>
      </c>
      <c r="D87" s="16">
        <f aca="true" t="shared" si="11" ref="D87:AN87">SUM(D81:D86)</f>
        <v>277878</v>
      </c>
      <c r="E87" s="16">
        <f t="shared" si="11"/>
        <v>2876385</v>
      </c>
      <c r="F87" s="16">
        <f t="shared" si="11"/>
        <v>279348</v>
      </c>
      <c r="G87" s="16">
        <f t="shared" si="11"/>
        <v>715491</v>
      </c>
      <c r="H87" s="16">
        <f t="shared" si="11"/>
        <v>152023</v>
      </c>
      <c r="I87" s="16">
        <f t="shared" si="11"/>
        <v>11936</v>
      </c>
      <c r="J87" s="16">
        <f t="shared" si="11"/>
        <v>22393</v>
      </c>
      <c r="K87" s="16">
        <f t="shared" si="11"/>
        <v>231372</v>
      </c>
      <c r="L87" s="16">
        <f t="shared" si="11"/>
        <v>1393743</v>
      </c>
      <c r="M87" s="16">
        <f>SUM(M81:M86)</f>
        <v>283814</v>
      </c>
      <c r="N87" s="16">
        <f>SUM(N81:N86)</f>
        <v>878871</v>
      </c>
      <c r="O87" s="16">
        <f>SUM(O81:O86)</f>
        <v>24775583</v>
      </c>
      <c r="P87" s="16">
        <f>SUM(P81:P86)</f>
        <v>1860760</v>
      </c>
      <c r="Q87" s="16">
        <f>SUM(Q81:Q86)</f>
        <v>3753678</v>
      </c>
      <c r="R87" s="16">
        <f t="shared" si="11"/>
        <v>198103</v>
      </c>
      <c r="S87" s="16">
        <f t="shared" si="11"/>
        <v>5057830.059579999</v>
      </c>
      <c r="T87" s="16">
        <f t="shared" si="11"/>
        <v>18679190.54778</v>
      </c>
      <c r="U87" s="16">
        <f t="shared" si="11"/>
        <v>1631580.94856</v>
      </c>
      <c r="V87" s="16">
        <f t="shared" si="11"/>
        <v>935578.804</v>
      </c>
      <c r="W87" s="16">
        <f t="shared" si="11"/>
        <v>142733</v>
      </c>
      <c r="X87" s="16">
        <f t="shared" si="11"/>
        <v>386947</v>
      </c>
      <c r="Y87" s="16">
        <f t="shared" si="11"/>
        <v>1284201</v>
      </c>
      <c r="Z87" s="16">
        <f t="shared" si="11"/>
        <v>59974</v>
      </c>
      <c r="AA87" s="16">
        <f t="shared" si="11"/>
        <v>168256.73</v>
      </c>
      <c r="AB87" s="16">
        <f t="shared" si="11"/>
        <v>670621</v>
      </c>
      <c r="AC87" s="16">
        <f t="shared" si="11"/>
        <v>24367</v>
      </c>
      <c r="AD87" s="16">
        <f t="shared" si="11"/>
        <v>66813</v>
      </c>
      <c r="AE87" s="16">
        <f>SUM(AE81:AE86)</f>
        <v>301587.273</v>
      </c>
      <c r="AF87" s="16">
        <f>SUM(AF81:AF86)</f>
        <v>47106</v>
      </c>
      <c r="AG87" s="16">
        <f>SUM(AG81:AG86)</f>
        <v>31235.537</v>
      </c>
      <c r="AH87" s="16">
        <f t="shared" si="11"/>
        <v>59502</v>
      </c>
      <c r="AI87" s="16">
        <f t="shared" si="11"/>
        <v>3307351.184</v>
      </c>
      <c r="AJ87" s="16">
        <f t="shared" si="11"/>
        <v>4607452.218</v>
      </c>
      <c r="AK87" s="16">
        <f t="shared" si="11"/>
        <v>1175533.6109999998</v>
      </c>
      <c r="AL87" s="16">
        <f t="shared" si="11"/>
        <v>159688.712</v>
      </c>
      <c r="AM87" s="16">
        <f t="shared" si="11"/>
        <v>13303</v>
      </c>
      <c r="AN87" s="16">
        <f t="shared" si="11"/>
        <v>1560359</v>
      </c>
      <c r="AO87" s="16"/>
      <c r="AP87" s="147">
        <f t="shared" si="10"/>
        <v>80994070.62492</v>
      </c>
      <c r="AQ87" s="16"/>
      <c r="AR87" s="16"/>
      <c r="AS87" s="16"/>
      <c r="AT87" s="16"/>
      <c r="AU87" s="157"/>
    </row>
    <row r="88" spans="1:47" s="168" customFormat="1" ht="11.25" customHeight="1" collapsed="1">
      <c r="A88" s="169" t="s">
        <v>240</v>
      </c>
      <c r="B88" s="16">
        <f>SUM(B73:B86)</f>
        <v>2284416</v>
      </c>
      <c r="C88" s="16">
        <f>SUM(C73:C86)</f>
        <v>627065</v>
      </c>
      <c r="D88" s="16">
        <f aca="true" t="shared" si="12" ref="D88:AN88">SUM(D73:D86)</f>
        <v>277878</v>
      </c>
      <c r="E88" s="16">
        <f t="shared" si="12"/>
        <v>2876385</v>
      </c>
      <c r="F88" s="16">
        <f t="shared" si="12"/>
        <v>279348</v>
      </c>
      <c r="G88" s="16">
        <f t="shared" si="12"/>
        <v>715491</v>
      </c>
      <c r="H88" s="16">
        <f t="shared" si="12"/>
        <v>152023</v>
      </c>
      <c r="I88" s="16">
        <f t="shared" si="12"/>
        <v>11936</v>
      </c>
      <c r="J88" s="16">
        <f t="shared" si="12"/>
        <v>22393</v>
      </c>
      <c r="K88" s="16">
        <f t="shared" si="12"/>
        <v>231372</v>
      </c>
      <c r="L88" s="16">
        <f t="shared" si="12"/>
        <v>1393743</v>
      </c>
      <c r="M88" s="16">
        <f t="shared" si="12"/>
        <v>283814</v>
      </c>
      <c r="N88" s="16">
        <f t="shared" si="12"/>
        <v>878871</v>
      </c>
      <c r="O88" s="16">
        <f>SUM(O73:O86)</f>
        <v>24775583</v>
      </c>
      <c r="P88" s="16">
        <f>SUM(P73:P86)</f>
        <v>1860760</v>
      </c>
      <c r="Q88" s="16">
        <f>SUM(Q73:Q86)</f>
        <v>3753678</v>
      </c>
      <c r="R88" s="16">
        <f t="shared" si="12"/>
        <v>198103</v>
      </c>
      <c r="S88" s="16">
        <f t="shared" si="12"/>
        <v>5057830.059579999</v>
      </c>
      <c r="T88" s="16">
        <f t="shared" si="12"/>
        <v>18679190.54778</v>
      </c>
      <c r="U88" s="16">
        <f t="shared" si="12"/>
        <v>1631580.94856</v>
      </c>
      <c r="V88" s="16">
        <f t="shared" si="12"/>
        <v>935578.804</v>
      </c>
      <c r="W88" s="16">
        <f t="shared" si="12"/>
        <v>142733</v>
      </c>
      <c r="X88" s="16">
        <f t="shared" si="12"/>
        <v>386947</v>
      </c>
      <c r="Y88" s="16">
        <f t="shared" si="12"/>
        <v>1288218</v>
      </c>
      <c r="Z88" s="16">
        <f t="shared" si="12"/>
        <v>59974</v>
      </c>
      <c r="AA88" s="16">
        <f t="shared" si="12"/>
        <v>168256.73</v>
      </c>
      <c r="AB88" s="16">
        <f t="shared" si="12"/>
        <v>670621</v>
      </c>
      <c r="AC88" s="16">
        <f t="shared" si="12"/>
        <v>24367</v>
      </c>
      <c r="AD88" s="16">
        <f t="shared" si="12"/>
        <v>66813</v>
      </c>
      <c r="AE88" s="16">
        <f>SUM(AE73:AE86)</f>
        <v>301587.273</v>
      </c>
      <c r="AF88" s="16">
        <f>SUM(AF73:AF86)</f>
        <v>47106</v>
      </c>
      <c r="AG88" s="16">
        <f>SUM(AG73:AG86)</f>
        <v>31235.537</v>
      </c>
      <c r="AH88" s="16">
        <f t="shared" si="12"/>
        <v>59502</v>
      </c>
      <c r="AI88" s="16">
        <f t="shared" si="12"/>
        <v>3307351.184</v>
      </c>
      <c r="AJ88" s="16">
        <f t="shared" si="12"/>
        <v>4607452.218</v>
      </c>
      <c r="AK88" s="16">
        <f>SUM(AK73:AK86)</f>
        <v>1175533.6109999998</v>
      </c>
      <c r="AL88" s="16">
        <f t="shared" si="12"/>
        <v>159688.712</v>
      </c>
      <c r="AM88" s="16">
        <f t="shared" si="12"/>
        <v>13303</v>
      </c>
      <c r="AN88" s="16">
        <f t="shared" si="12"/>
        <v>1560359</v>
      </c>
      <c r="AO88" s="16"/>
      <c r="AP88" s="147">
        <f t="shared" si="10"/>
        <v>80998087.62492</v>
      </c>
      <c r="AQ88" s="16"/>
      <c r="AR88" s="16"/>
      <c r="AS88" s="16"/>
      <c r="AT88" s="16"/>
      <c r="AU88" s="157"/>
    </row>
    <row r="89" spans="1:47" s="168" customFormat="1" ht="11.25" customHeight="1">
      <c r="A89" s="169"/>
      <c r="B89" s="157"/>
      <c r="C89" s="16"/>
      <c r="D89" s="159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7"/>
      <c r="P89" s="157"/>
      <c r="Q89" s="157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47"/>
      <c r="AQ89" s="16"/>
      <c r="AR89" s="16"/>
      <c r="AS89" s="16"/>
      <c r="AT89" s="16"/>
      <c r="AU89" s="157"/>
    </row>
    <row r="90" spans="1:47" s="168" customFormat="1" ht="11.25" customHeight="1" hidden="1" outlineLevel="1">
      <c r="A90" s="169" t="s">
        <v>241</v>
      </c>
      <c r="B90" s="157"/>
      <c r="C90" s="158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7"/>
      <c r="P90" s="157"/>
      <c r="Q90" s="157"/>
      <c r="R90" s="159"/>
      <c r="S90" s="158"/>
      <c r="T90" s="158"/>
      <c r="U90" s="158"/>
      <c r="V90" s="158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P90" s="147"/>
      <c r="AQ90" s="16"/>
      <c r="AR90" s="16"/>
      <c r="AS90" s="16"/>
      <c r="AT90" s="16"/>
      <c r="AU90" s="157"/>
    </row>
    <row r="91" spans="1:47" s="168" customFormat="1" ht="11.25" customHeight="1" hidden="1" outlineLevel="1">
      <c r="A91" s="148" t="s">
        <v>242</v>
      </c>
      <c r="B91" s="157">
        <v>0</v>
      </c>
      <c r="C91" s="157">
        <v>0</v>
      </c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118914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96134.556</v>
      </c>
      <c r="AJ91" s="157">
        <v>6148.757</v>
      </c>
      <c r="AK91" s="157">
        <v>-74966.563</v>
      </c>
      <c r="AL91" s="157">
        <v>0</v>
      </c>
      <c r="AM91" s="157">
        <v>0</v>
      </c>
      <c r="AN91" s="157">
        <v>0</v>
      </c>
      <c r="AO91" s="157"/>
      <c r="AP91" s="147">
        <f t="shared" si="10"/>
        <v>146230.75</v>
      </c>
      <c r="AQ91" s="16"/>
      <c r="AR91" s="16"/>
      <c r="AS91" s="16"/>
      <c r="AT91" s="16"/>
      <c r="AU91" s="157"/>
    </row>
    <row r="92" spans="1:47" s="168" customFormat="1" ht="11.25" customHeight="1" hidden="1" outlineLevel="1">
      <c r="A92" s="148" t="s">
        <v>243</v>
      </c>
      <c r="B92" s="157">
        <v>0</v>
      </c>
      <c r="C92" s="157">
        <v>0</v>
      </c>
      <c r="D92" s="157">
        <v>0</v>
      </c>
      <c r="E92" s="157">
        <v>0</v>
      </c>
      <c r="F92" s="157">
        <v>0</v>
      </c>
      <c r="G92" s="157">
        <v>0</v>
      </c>
      <c r="H92" s="157">
        <v>195</v>
      </c>
      <c r="I92" s="157">
        <v>10</v>
      </c>
      <c r="J92" s="157">
        <v>12</v>
      </c>
      <c r="K92" s="157">
        <v>0</v>
      </c>
      <c r="L92" s="157">
        <v>0</v>
      </c>
      <c r="M92" s="157">
        <v>4974</v>
      </c>
      <c r="N92" s="157">
        <v>14530</v>
      </c>
      <c r="O92" s="157">
        <v>1414.5</v>
      </c>
      <c r="P92" s="157">
        <v>80</v>
      </c>
      <c r="Q92" s="157">
        <v>0</v>
      </c>
      <c r="R92" s="157">
        <v>37</v>
      </c>
      <c r="S92" s="157">
        <v>0</v>
      </c>
      <c r="T92" s="157">
        <v>0</v>
      </c>
      <c r="U92" s="157">
        <v>0</v>
      </c>
      <c r="V92" s="157">
        <v>0</v>
      </c>
      <c r="W92" s="157">
        <v>5419</v>
      </c>
      <c r="X92" s="157">
        <v>2325</v>
      </c>
      <c r="Y92" s="157">
        <v>3161</v>
      </c>
      <c r="Z92" s="157">
        <v>0</v>
      </c>
      <c r="AA92" s="157">
        <v>0</v>
      </c>
      <c r="AB92" s="157">
        <v>2246</v>
      </c>
      <c r="AC92" s="157">
        <v>692</v>
      </c>
      <c r="AD92" s="157">
        <v>1385</v>
      </c>
      <c r="AE92" s="157">
        <v>0</v>
      </c>
      <c r="AF92" s="157"/>
      <c r="AG92" s="157">
        <v>0</v>
      </c>
      <c r="AH92" s="157">
        <v>2912</v>
      </c>
      <c r="AI92" s="157">
        <v>4147.172</v>
      </c>
      <c r="AJ92" s="157">
        <v>4714.302</v>
      </c>
      <c r="AK92" s="157">
        <v>2304.242</v>
      </c>
      <c r="AL92" s="157">
        <v>0</v>
      </c>
      <c r="AM92" s="157">
        <v>0</v>
      </c>
      <c r="AN92" s="157">
        <v>0</v>
      </c>
      <c r="AO92" s="157"/>
      <c r="AP92" s="147">
        <f t="shared" si="10"/>
        <v>50558.216</v>
      </c>
      <c r="AQ92" s="16"/>
      <c r="AR92" s="16"/>
      <c r="AS92" s="16"/>
      <c r="AT92" s="16"/>
      <c r="AU92" s="157"/>
    </row>
    <row r="93" spans="1:47" s="168" customFormat="1" ht="11.25" customHeight="1" hidden="1" outlineLevel="1">
      <c r="A93" s="148" t="s">
        <v>244</v>
      </c>
      <c r="B93" s="157">
        <v>25995</v>
      </c>
      <c r="C93" s="171">
        <v>3613.4</v>
      </c>
      <c r="D93" s="157">
        <v>76.5</v>
      </c>
      <c r="E93" s="157">
        <v>0</v>
      </c>
      <c r="F93" s="157">
        <v>7563</v>
      </c>
      <c r="G93" s="157">
        <v>19149</v>
      </c>
      <c r="H93" s="157">
        <v>0</v>
      </c>
      <c r="I93" s="157">
        <v>0</v>
      </c>
      <c r="J93" s="157">
        <v>0</v>
      </c>
      <c r="K93" s="157">
        <v>275</v>
      </c>
      <c r="L93" s="157">
        <v>1560</v>
      </c>
      <c r="M93" s="157">
        <v>453</v>
      </c>
      <c r="N93" s="157">
        <v>1324</v>
      </c>
      <c r="O93" s="157">
        <v>138188.5</v>
      </c>
      <c r="P93" s="157">
        <v>10490</v>
      </c>
      <c r="Q93" s="157">
        <v>21112</v>
      </c>
      <c r="R93" s="157">
        <v>0</v>
      </c>
      <c r="S93" s="157">
        <v>19580.776</v>
      </c>
      <c r="T93" s="157">
        <v>58629.799</v>
      </c>
      <c r="U93" s="157">
        <v>3278.823</v>
      </c>
      <c r="V93" s="157">
        <v>0</v>
      </c>
      <c r="W93" s="157">
        <v>335</v>
      </c>
      <c r="X93" s="157">
        <v>8532</v>
      </c>
      <c r="Y93" s="157">
        <v>4793</v>
      </c>
      <c r="Z93" s="157">
        <v>100.5</v>
      </c>
      <c r="AA93" s="157">
        <v>-5212.714</v>
      </c>
      <c r="AB93" s="157">
        <v>0</v>
      </c>
      <c r="AC93" s="157">
        <v>0</v>
      </c>
      <c r="AD93" s="157">
        <v>0</v>
      </c>
      <c r="AE93" s="157">
        <v>358.084</v>
      </c>
      <c r="AF93" s="157">
        <v>49</v>
      </c>
      <c r="AG93" s="157">
        <v>33</v>
      </c>
      <c r="AH93" s="157">
        <v>0</v>
      </c>
      <c r="AI93" s="157">
        <v>4591.765</v>
      </c>
      <c r="AJ93" s="157">
        <v>6182.318</v>
      </c>
      <c r="AK93" s="157">
        <v>787.834</v>
      </c>
      <c r="AL93" s="157">
        <v>0</v>
      </c>
      <c r="AM93" s="157">
        <v>0</v>
      </c>
      <c r="AN93" s="157">
        <v>100494</v>
      </c>
      <c r="AO93" s="157"/>
      <c r="AP93" s="147">
        <f t="shared" si="10"/>
        <v>432332.58499999996</v>
      </c>
      <c r="AQ93" s="16"/>
      <c r="AR93" s="16"/>
      <c r="AS93" s="16"/>
      <c r="AT93" s="16"/>
      <c r="AU93" s="157"/>
    </row>
    <row r="94" spans="1:47" s="168" customFormat="1" ht="11.25" customHeight="1" collapsed="1">
      <c r="A94" s="169" t="s">
        <v>245</v>
      </c>
      <c r="B94" s="157">
        <f>SUM(B91:B93)</f>
        <v>25995</v>
      </c>
      <c r="C94" s="157">
        <f aca="true" t="shared" si="13" ref="C94:AN94">SUM(C91:C93)</f>
        <v>3613.4</v>
      </c>
      <c r="D94" s="157">
        <f t="shared" si="13"/>
        <v>76.5</v>
      </c>
      <c r="E94" s="157">
        <f t="shared" si="13"/>
        <v>0</v>
      </c>
      <c r="F94" s="157">
        <f t="shared" si="13"/>
        <v>7563</v>
      </c>
      <c r="G94" s="157">
        <f t="shared" si="13"/>
        <v>19149</v>
      </c>
      <c r="H94" s="157">
        <f t="shared" si="13"/>
        <v>195</v>
      </c>
      <c r="I94" s="157">
        <f t="shared" si="13"/>
        <v>10</v>
      </c>
      <c r="J94" s="157">
        <f t="shared" si="13"/>
        <v>12</v>
      </c>
      <c r="K94" s="157">
        <f t="shared" si="13"/>
        <v>275</v>
      </c>
      <c r="L94" s="157">
        <f t="shared" si="13"/>
        <v>1560</v>
      </c>
      <c r="M94" s="157">
        <f t="shared" si="13"/>
        <v>5427</v>
      </c>
      <c r="N94" s="157">
        <f t="shared" si="13"/>
        <v>15854</v>
      </c>
      <c r="O94" s="157">
        <f>SUM(O91:O93)</f>
        <v>139603</v>
      </c>
      <c r="P94" s="157">
        <f>SUM(P91:P93)</f>
        <v>10570</v>
      </c>
      <c r="Q94" s="157">
        <f>SUM(Q91:Q93)</f>
        <v>21112</v>
      </c>
      <c r="R94" s="157">
        <f t="shared" si="13"/>
        <v>37</v>
      </c>
      <c r="S94" s="157">
        <f t="shared" si="13"/>
        <v>19580.776</v>
      </c>
      <c r="T94" s="157">
        <f t="shared" si="13"/>
        <v>58629.799</v>
      </c>
      <c r="U94" s="157">
        <f t="shared" si="13"/>
        <v>3278.823</v>
      </c>
      <c r="V94" s="157">
        <f t="shared" si="13"/>
        <v>0</v>
      </c>
      <c r="W94" s="157">
        <f t="shared" si="13"/>
        <v>5754</v>
      </c>
      <c r="X94" s="157">
        <f t="shared" si="13"/>
        <v>10857</v>
      </c>
      <c r="Y94" s="157">
        <f t="shared" si="13"/>
        <v>7954</v>
      </c>
      <c r="Z94" s="157">
        <f t="shared" si="13"/>
        <v>100.5</v>
      </c>
      <c r="AA94" s="157">
        <f t="shared" si="13"/>
        <v>-5212.714</v>
      </c>
      <c r="AB94" s="157">
        <f t="shared" si="13"/>
        <v>121160</v>
      </c>
      <c r="AC94" s="157">
        <f t="shared" si="13"/>
        <v>692</v>
      </c>
      <c r="AD94" s="157">
        <f t="shared" si="13"/>
        <v>1385</v>
      </c>
      <c r="AE94" s="157">
        <f>SUM(AE91:AE93)</f>
        <v>358.084</v>
      </c>
      <c r="AF94" s="157">
        <f>SUM(AF91:AF93)</f>
        <v>49</v>
      </c>
      <c r="AG94" s="157">
        <f>SUM(AG91:AG93)</f>
        <v>33</v>
      </c>
      <c r="AH94" s="157">
        <f t="shared" si="13"/>
        <v>2912</v>
      </c>
      <c r="AI94" s="157">
        <f t="shared" si="13"/>
        <v>104873.493</v>
      </c>
      <c r="AJ94" s="157">
        <f t="shared" si="13"/>
        <v>17045.377</v>
      </c>
      <c r="AK94" s="157">
        <f t="shared" si="13"/>
        <v>-71874.487</v>
      </c>
      <c r="AL94" s="157">
        <f t="shared" si="13"/>
        <v>0</v>
      </c>
      <c r="AM94" s="157">
        <f t="shared" si="13"/>
        <v>0</v>
      </c>
      <c r="AN94" s="157">
        <f t="shared" si="13"/>
        <v>100494</v>
      </c>
      <c r="AO94" s="16"/>
      <c r="AP94" s="147">
        <f t="shared" si="10"/>
        <v>629121.551</v>
      </c>
      <c r="AQ94" s="16"/>
      <c r="AR94" s="16"/>
      <c r="AS94" s="16"/>
      <c r="AT94" s="16"/>
      <c r="AU94" s="157"/>
    </row>
    <row r="95" spans="1:47" s="168" customFormat="1" ht="11.25" customHeight="1">
      <c r="A95" s="148"/>
      <c r="B95" s="157"/>
      <c r="C95" s="158"/>
      <c r="D95" s="159"/>
      <c r="E95" s="159"/>
      <c r="F95" s="159"/>
      <c r="G95" s="159"/>
      <c r="H95" s="159"/>
      <c r="I95" s="159"/>
      <c r="J95" s="159"/>
      <c r="K95" s="159"/>
      <c r="L95" s="159"/>
      <c r="M95" s="16"/>
      <c r="N95" s="16"/>
      <c r="O95" s="159"/>
      <c r="P95" s="159"/>
      <c r="Q95" s="159"/>
      <c r="R95" s="159"/>
      <c r="S95" s="157"/>
      <c r="T95" s="157"/>
      <c r="U95" s="157"/>
      <c r="V95" s="157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P95" s="147"/>
      <c r="AQ95" s="16"/>
      <c r="AR95" s="16"/>
      <c r="AS95" s="16"/>
      <c r="AT95" s="16"/>
      <c r="AU95" s="157"/>
    </row>
    <row r="96" spans="1:47" s="168" customFormat="1" ht="11.25" customHeight="1" hidden="1" outlineLevel="1">
      <c r="A96" s="169" t="s">
        <v>246</v>
      </c>
      <c r="B96" s="157"/>
      <c r="C96" s="158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8"/>
      <c r="T96" s="158"/>
      <c r="U96" s="158"/>
      <c r="V96" s="158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P96" s="147"/>
      <c r="AQ96" s="16"/>
      <c r="AR96" s="16"/>
      <c r="AS96" s="16"/>
      <c r="AT96" s="16"/>
      <c r="AU96" s="157"/>
    </row>
    <row r="97" spans="1:47" s="168" customFormat="1" ht="11.25" customHeight="1" hidden="1" outlineLevel="1">
      <c r="A97" s="148" t="s">
        <v>247</v>
      </c>
      <c r="B97" s="157">
        <v>0</v>
      </c>
      <c r="C97" s="157">
        <v>0</v>
      </c>
      <c r="D97" s="159">
        <v>0</v>
      </c>
      <c r="E97" s="157">
        <v>0</v>
      </c>
      <c r="F97" s="157">
        <v>0</v>
      </c>
      <c r="G97" s="157">
        <v>0</v>
      </c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0</v>
      </c>
      <c r="P97" s="157">
        <v>0</v>
      </c>
      <c r="Q97" s="157">
        <v>0</v>
      </c>
      <c r="R97" s="157">
        <v>0</v>
      </c>
      <c r="S97" s="157">
        <v>0</v>
      </c>
      <c r="T97" s="157">
        <v>0</v>
      </c>
      <c r="U97" s="157">
        <v>0</v>
      </c>
      <c r="V97" s="157">
        <v>0</v>
      </c>
      <c r="W97" s="157">
        <v>0</v>
      </c>
      <c r="X97" s="157">
        <v>0</v>
      </c>
      <c r="Y97" s="157">
        <v>942</v>
      </c>
      <c r="Z97" s="157">
        <v>0</v>
      </c>
      <c r="AA97" s="157">
        <v>0</v>
      </c>
      <c r="AB97" s="157">
        <v>0</v>
      </c>
      <c r="AC97" s="157">
        <v>0</v>
      </c>
      <c r="AD97" s="157">
        <v>0</v>
      </c>
      <c r="AE97" s="157">
        <v>0</v>
      </c>
      <c r="AF97" s="157">
        <v>0</v>
      </c>
      <c r="AG97" s="157">
        <v>0</v>
      </c>
      <c r="AH97" s="157">
        <v>0</v>
      </c>
      <c r="AI97" s="157">
        <v>0</v>
      </c>
      <c r="AJ97" s="157">
        <v>0</v>
      </c>
      <c r="AK97" s="157">
        <v>0</v>
      </c>
      <c r="AL97" s="157">
        <v>0</v>
      </c>
      <c r="AM97" s="157">
        <v>0</v>
      </c>
      <c r="AN97" s="157">
        <v>0</v>
      </c>
      <c r="AO97" s="157"/>
      <c r="AP97" s="147">
        <f t="shared" si="10"/>
        <v>942</v>
      </c>
      <c r="AQ97" s="16"/>
      <c r="AR97" s="16"/>
      <c r="AS97" s="16"/>
      <c r="AT97" s="16"/>
      <c r="AU97" s="157"/>
    </row>
    <row r="98" spans="1:47" s="168" customFormat="1" ht="11.25" customHeight="1" hidden="1" outlineLevel="1">
      <c r="A98" s="148" t="s">
        <v>248</v>
      </c>
      <c r="B98" s="157">
        <v>35424</v>
      </c>
      <c r="C98" s="172">
        <v>14562.4</v>
      </c>
      <c r="D98" s="172">
        <v>3639</v>
      </c>
      <c r="E98" s="157">
        <v>87362</v>
      </c>
      <c r="F98" s="157">
        <v>12266</v>
      </c>
      <c r="G98" s="157">
        <v>20791</v>
      </c>
      <c r="H98" s="157">
        <v>4656</v>
      </c>
      <c r="I98" s="157">
        <v>351</v>
      </c>
      <c r="J98" s="157">
        <v>347</v>
      </c>
      <c r="K98" s="157">
        <v>1590</v>
      </c>
      <c r="L98" s="157">
        <v>9013</v>
      </c>
      <c r="M98" s="157">
        <v>0</v>
      </c>
      <c r="N98" s="157">
        <v>0</v>
      </c>
      <c r="O98" s="157">
        <v>204902</v>
      </c>
      <c r="P98" s="157">
        <v>8373</v>
      </c>
      <c r="Q98" s="157">
        <v>0</v>
      </c>
      <c r="R98" s="157">
        <v>0</v>
      </c>
      <c r="S98" s="157">
        <v>28255.819074004</v>
      </c>
      <c r="T98" s="157">
        <v>51798.726953651094</v>
      </c>
      <c r="U98" s="157">
        <v>5536.014710219434</v>
      </c>
      <c r="V98" s="157">
        <v>3942.531</v>
      </c>
      <c r="W98" s="157">
        <v>0</v>
      </c>
      <c r="X98" s="157">
        <v>44301</v>
      </c>
      <c r="Y98" s="157">
        <v>26805</v>
      </c>
      <c r="Z98" s="157">
        <v>617.5</v>
      </c>
      <c r="AA98" s="157">
        <v>21065</v>
      </c>
      <c r="AB98" s="157">
        <v>0</v>
      </c>
      <c r="AC98" s="157">
        <v>0</v>
      </c>
      <c r="AD98" s="157">
        <v>0</v>
      </c>
      <c r="AE98" s="157">
        <v>4175.279</v>
      </c>
      <c r="AF98" s="157">
        <v>336</v>
      </c>
      <c r="AG98" s="157">
        <v>0</v>
      </c>
      <c r="AH98" s="157">
        <v>1524</v>
      </c>
      <c r="AI98" s="157">
        <v>40931.704</v>
      </c>
      <c r="AJ98" s="157">
        <v>765.753</v>
      </c>
      <c r="AK98" s="157">
        <v>370.322</v>
      </c>
      <c r="AL98" s="157">
        <v>0</v>
      </c>
      <c r="AM98" s="157">
        <v>258</v>
      </c>
      <c r="AN98" s="157">
        <v>5323</v>
      </c>
      <c r="AO98" s="157"/>
      <c r="AP98" s="147">
        <f t="shared" si="10"/>
        <v>639282.0497378748</v>
      </c>
      <c r="AQ98" s="16"/>
      <c r="AR98" s="16"/>
      <c r="AS98" s="16"/>
      <c r="AT98" s="16"/>
      <c r="AU98" s="157"/>
    </row>
    <row r="99" spans="1:47" s="168" customFormat="1" ht="11.25" customHeight="1" hidden="1" outlineLevel="1">
      <c r="A99" s="148" t="s">
        <v>249</v>
      </c>
      <c r="B99" s="157">
        <v>0</v>
      </c>
      <c r="C99" s="157">
        <v>0</v>
      </c>
      <c r="D99" s="159">
        <v>0</v>
      </c>
      <c r="E99" s="157"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157">
        <v>0</v>
      </c>
      <c r="S99" s="157">
        <v>0</v>
      </c>
      <c r="T99" s="157">
        <v>0</v>
      </c>
      <c r="U99" s="157">
        <v>0</v>
      </c>
      <c r="V99" s="157">
        <v>0</v>
      </c>
      <c r="W99" s="157">
        <v>0</v>
      </c>
      <c r="X99" s="157">
        <v>0</v>
      </c>
      <c r="Y99" s="157">
        <v>0</v>
      </c>
      <c r="Z99" s="157">
        <v>0</v>
      </c>
      <c r="AA99" s="157">
        <v>0</v>
      </c>
      <c r="AB99" s="157">
        <v>0</v>
      </c>
      <c r="AC99" s="157">
        <v>0</v>
      </c>
      <c r="AD99" s="157">
        <v>0</v>
      </c>
      <c r="AE99" s="157"/>
      <c r="AF99" s="157">
        <v>0</v>
      </c>
      <c r="AG99" s="157">
        <v>0</v>
      </c>
      <c r="AH99" s="157">
        <v>0</v>
      </c>
      <c r="AI99" s="157">
        <v>0</v>
      </c>
      <c r="AJ99" s="157">
        <v>0</v>
      </c>
      <c r="AK99" s="157">
        <v>0</v>
      </c>
      <c r="AL99" s="157">
        <v>0</v>
      </c>
      <c r="AM99" s="157">
        <v>0</v>
      </c>
      <c r="AN99" s="157">
        <v>1246</v>
      </c>
      <c r="AO99" s="157"/>
      <c r="AP99" s="147">
        <f t="shared" si="10"/>
        <v>1246</v>
      </c>
      <c r="AQ99" s="16"/>
      <c r="AR99" s="16"/>
      <c r="AS99" s="16"/>
      <c r="AT99" s="16"/>
      <c r="AU99" s="157"/>
    </row>
    <row r="100" spans="1:47" s="168" customFormat="1" ht="11.25" customHeight="1" collapsed="1">
      <c r="A100" s="169" t="s">
        <v>250</v>
      </c>
      <c r="B100" s="16">
        <f>SUM(B97:B99)</f>
        <v>35424</v>
      </c>
      <c r="C100" s="16">
        <f aca="true" t="shared" si="14" ref="C100:AN100">SUM(C97:C99)</f>
        <v>14562.4</v>
      </c>
      <c r="D100" s="16">
        <f t="shared" si="14"/>
        <v>3639</v>
      </c>
      <c r="E100" s="16">
        <f t="shared" si="14"/>
        <v>87362</v>
      </c>
      <c r="F100" s="16">
        <f t="shared" si="14"/>
        <v>12266</v>
      </c>
      <c r="G100" s="16">
        <f t="shared" si="14"/>
        <v>20791</v>
      </c>
      <c r="H100" s="16">
        <f t="shared" si="14"/>
        <v>4656</v>
      </c>
      <c r="I100" s="16">
        <f t="shared" si="14"/>
        <v>351</v>
      </c>
      <c r="J100" s="16">
        <f t="shared" si="14"/>
        <v>347</v>
      </c>
      <c r="K100" s="16">
        <f t="shared" si="14"/>
        <v>1590</v>
      </c>
      <c r="L100" s="16">
        <f t="shared" si="14"/>
        <v>9013</v>
      </c>
      <c r="M100" s="16">
        <f t="shared" si="14"/>
        <v>0</v>
      </c>
      <c r="N100" s="16">
        <f t="shared" si="14"/>
        <v>0</v>
      </c>
      <c r="O100" s="16">
        <f>SUM(O97:O99)</f>
        <v>204902</v>
      </c>
      <c r="P100" s="16">
        <f>SUM(P97:P99)</f>
        <v>8373</v>
      </c>
      <c r="Q100" s="16">
        <f>SUM(Q97:Q99)</f>
        <v>0</v>
      </c>
      <c r="R100" s="16">
        <f t="shared" si="14"/>
        <v>0</v>
      </c>
      <c r="S100" s="16">
        <f t="shared" si="14"/>
        <v>28255.819074004</v>
      </c>
      <c r="T100" s="16">
        <f t="shared" si="14"/>
        <v>51798.726953651094</v>
      </c>
      <c r="U100" s="16">
        <f t="shared" si="14"/>
        <v>5536.014710219434</v>
      </c>
      <c r="V100" s="16">
        <f t="shared" si="14"/>
        <v>3942.531</v>
      </c>
      <c r="W100" s="16">
        <f t="shared" si="14"/>
        <v>0</v>
      </c>
      <c r="X100" s="16">
        <f t="shared" si="14"/>
        <v>44301</v>
      </c>
      <c r="Y100" s="16">
        <f t="shared" si="14"/>
        <v>27747</v>
      </c>
      <c r="Z100" s="16">
        <f t="shared" si="14"/>
        <v>617.5</v>
      </c>
      <c r="AA100" s="16">
        <f t="shared" si="14"/>
        <v>21065</v>
      </c>
      <c r="AB100" s="16">
        <f t="shared" si="14"/>
        <v>0</v>
      </c>
      <c r="AC100" s="16">
        <f t="shared" si="14"/>
        <v>0</v>
      </c>
      <c r="AD100" s="16">
        <f t="shared" si="14"/>
        <v>0</v>
      </c>
      <c r="AE100" s="16">
        <f>SUM(AE97:AE99)</f>
        <v>4175.279</v>
      </c>
      <c r="AF100" s="16">
        <f>SUM(AF97:AF99)</f>
        <v>336</v>
      </c>
      <c r="AG100" s="16">
        <f>SUM(AG97:AG99)</f>
        <v>0</v>
      </c>
      <c r="AH100" s="16">
        <f t="shared" si="14"/>
        <v>1524</v>
      </c>
      <c r="AI100" s="157">
        <v>40931.704</v>
      </c>
      <c r="AJ100" s="157">
        <v>765.753</v>
      </c>
      <c r="AK100" s="157">
        <v>370.322</v>
      </c>
      <c r="AL100" s="157">
        <v>0</v>
      </c>
      <c r="AM100" s="16">
        <f t="shared" si="14"/>
        <v>258</v>
      </c>
      <c r="AN100" s="16">
        <f t="shared" si="14"/>
        <v>6569</v>
      </c>
      <c r="AO100" s="16"/>
      <c r="AP100" s="147">
        <f t="shared" si="10"/>
        <v>641470.0497378748</v>
      </c>
      <c r="AQ100" s="16"/>
      <c r="AR100" s="16"/>
      <c r="AS100" s="16"/>
      <c r="AT100" s="16"/>
      <c r="AU100" s="157"/>
    </row>
    <row r="101" spans="1:47" s="168" customFormat="1" ht="11.25" customHeight="1" hidden="1" outlineLevel="1">
      <c r="A101" s="169"/>
      <c r="B101" s="157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8"/>
      <c r="T101" s="158"/>
      <c r="U101" s="158"/>
      <c r="V101" s="158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P101" s="147"/>
      <c r="AQ101" s="16"/>
      <c r="AR101" s="16"/>
      <c r="AS101" s="16"/>
      <c r="AT101" s="16"/>
      <c r="AU101" s="157"/>
    </row>
    <row r="102" spans="1:47" s="168" customFormat="1" ht="11.25" customHeight="1" hidden="1" outlineLevel="1">
      <c r="A102" s="169" t="s">
        <v>413</v>
      </c>
      <c r="B102" s="157">
        <v>0</v>
      </c>
      <c r="C102" s="157">
        <v>0</v>
      </c>
      <c r="D102" s="157">
        <v>0</v>
      </c>
      <c r="E102" s="157">
        <v>0</v>
      </c>
      <c r="F102" s="157">
        <v>0</v>
      </c>
      <c r="G102" s="157">
        <v>0</v>
      </c>
      <c r="H102" s="157">
        <v>0</v>
      </c>
      <c r="I102" s="157">
        <v>0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6">
        <v>0</v>
      </c>
      <c r="P102" s="16">
        <v>0</v>
      </c>
      <c r="Q102" s="16">
        <v>0</v>
      </c>
      <c r="R102" s="157">
        <v>0</v>
      </c>
      <c r="S102" s="16">
        <v>0</v>
      </c>
      <c r="T102" s="16">
        <v>0</v>
      </c>
      <c r="U102" s="16">
        <v>0</v>
      </c>
      <c r="V102" s="16">
        <v>0</v>
      </c>
      <c r="W102" s="157">
        <v>0</v>
      </c>
      <c r="X102" s="157">
        <v>0</v>
      </c>
      <c r="Y102" s="157">
        <v>0</v>
      </c>
      <c r="Z102" s="157">
        <v>0</v>
      </c>
      <c r="AA102" s="157">
        <v>0</v>
      </c>
      <c r="AB102" s="157">
        <v>0</v>
      </c>
      <c r="AC102" s="157">
        <v>0</v>
      </c>
      <c r="AD102" s="157">
        <v>0</v>
      </c>
      <c r="AE102" s="157">
        <v>0</v>
      </c>
      <c r="AF102" s="157">
        <v>0</v>
      </c>
      <c r="AG102" s="157">
        <v>0</v>
      </c>
      <c r="AH102" s="157">
        <v>0</v>
      </c>
      <c r="AI102" s="157">
        <v>0</v>
      </c>
      <c r="AJ102" s="157">
        <v>0</v>
      </c>
      <c r="AK102" s="157">
        <v>0</v>
      </c>
      <c r="AL102" s="157">
        <v>0</v>
      </c>
      <c r="AM102" s="157">
        <v>0</v>
      </c>
      <c r="AN102" s="157">
        <v>0</v>
      </c>
      <c r="AO102" s="157"/>
      <c r="AP102" s="147">
        <f aca="true" t="shared" si="15" ref="AP102:AP121">SUM(B102:AN102)</f>
        <v>0</v>
      </c>
      <c r="AQ102" s="16"/>
      <c r="AR102" s="16"/>
      <c r="AS102" s="16"/>
      <c r="AT102" s="16"/>
      <c r="AU102" s="157"/>
    </row>
    <row r="103" spans="1:47" s="168" customFormat="1" ht="11.25" customHeight="1" collapsed="1">
      <c r="A103" s="148"/>
      <c r="B103" s="157"/>
      <c r="C103" s="158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8"/>
      <c r="T103" s="158"/>
      <c r="U103" s="158"/>
      <c r="V103" s="158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P103" s="147"/>
      <c r="AQ103" s="16"/>
      <c r="AR103" s="16"/>
      <c r="AS103" s="16"/>
      <c r="AT103" s="16"/>
      <c r="AU103" s="157"/>
    </row>
    <row r="104" spans="1:47" s="174" customFormat="1" ht="11.25" customHeight="1">
      <c r="A104" s="221" t="s">
        <v>416</v>
      </c>
      <c r="B104" s="16">
        <f>+B88+B94+B100+B102</f>
        <v>2345835</v>
      </c>
      <c r="C104" s="16">
        <f aca="true" t="shared" si="16" ref="C104:AN104">+C88+C94+C100+C102</f>
        <v>645240.8</v>
      </c>
      <c r="D104" s="16">
        <f t="shared" si="16"/>
        <v>281593.5</v>
      </c>
      <c r="E104" s="16">
        <f t="shared" si="16"/>
        <v>2963747</v>
      </c>
      <c r="F104" s="16">
        <f t="shared" si="16"/>
        <v>299177</v>
      </c>
      <c r="G104" s="16">
        <f t="shared" si="16"/>
        <v>755431</v>
      </c>
      <c r="H104" s="16">
        <f t="shared" si="16"/>
        <v>156874</v>
      </c>
      <c r="I104" s="16">
        <f t="shared" si="16"/>
        <v>12297</v>
      </c>
      <c r="J104" s="16">
        <f t="shared" si="16"/>
        <v>22752</v>
      </c>
      <c r="K104" s="16">
        <f t="shared" si="16"/>
        <v>233237</v>
      </c>
      <c r="L104" s="16">
        <f t="shared" si="16"/>
        <v>1404316</v>
      </c>
      <c r="M104" s="16">
        <f t="shared" si="16"/>
        <v>289241</v>
      </c>
      <c r="N104" s="16">
        <f t="shared" si="16"/>
        <v>894725</v>
      </c>
      <c r="O104" s="16">
        <f>+O88+O94+O100+O102</f>
        <v>25120088</v>
      </c>
      <c r="P104" s="16">
        <f>+P88+P94+P100+P102</f>
        <v>1879703</v>
      </c>
      <c r="Q104" s="16">
        <f>+Q88+Q94+Q100+Q102</f>
        <v>3774790</v>
      </c>
      <c r="R104" s="16">
        <f t="shared" si="16"/>
        <v>198140</v>
      </c>
      <c r="S104" s="16">
        <f t="shared" si="16"/>
        <v>5105666.654654003</v>
      </c>
      <c r="T104" s="16">
        <f t="shared" si="16"/>
        <v>18789619.07373365</v>
      </c>
      <c r="U104" s="16">
        <f t="shared" si="16"/>
        <v>1640395.7862702194</v>
      </c>
      <c r="V104" s="16">
        <f t="shared" si="16"/>
        <v>939521.335</v>
      </c>
      <c r="W104" s="16">
        <f t="shared" si="16"/>
        <v>148487</v>
      </c>
      <c r="X104" s="16">
        <f t="shared" si="16"/>
        <v>442105</v>
      </c>
      <c r="Y104" s="16">
        <f t="shared" si="16"/>
        <v>1323919</v>
      </c>
      <c r="Z104" s="16">
        <f t="shared" si="16"/>
        <v>60692</v>
      </c>
      <c r="AA104" s="16">
        <f t="shared" si="16"/>
        <v>184109.016</v>
      </c>
      <c r="AB104" s="16">
        <f t="shared" si="16"/>
        <v>791781</v>
      </c>
      <c r="AC104" s="16">
        <f t="shared" si="16"/>
        <v>25059</v>
      </c>
      <c r="AD104" s="16">
        <f t="shared" si="16"/>
        <v>68198</v>
      </c>
      <c r="AE104" s="16">
        <f>+AE88+AE94+AE100+AE102</f>
        <v>306120.63599999994</v>
      </c>
      <c r="AF104" s="16">
        <f>+AF88+AF94+AF100+AF102</f>
        <v>47491</v>
      </c>
      <c r="AG104" s="16">
        <f>+AG88+AG94+AG100+AG102</f>
        <v>31268.537</v>
      </c>
      <c r="AH104" s="16">
        <f t="shared" si="16"/>
        <v>63938</v>
      </c>
      <c r="AI104" s="16">
        <f t="shared" si="16"/>
        <v>3453156.3809999996</v>
      </c>
      <c r="AJ104" s="16">
        <f t="shared" si="16"/>
        <v>4625263.348</v>
      </c>
      <c r="AK104" s="16">
        <f>+AK88+AK94+AK100+AK102</f>
        <v>1104029.4459999998</v>
      </c>
      <c r="AL104" s="16">
        <f t="shared" si="16"/>
        <v>159688.712</v>
      </c>
      <c r="AM104" s="16">
        <f t="shared" si="16"/>
        <v>13561</v>
      </c>
      <c r="AN104" s="16">
        <f t="shared" si="16"/>
        <v>1667422</v>
      </c>
      <c r="AO104" s="149"/>
      <c r="AP104" s="147">
        <f t="shared" si="15"/>
        <v>82268679.22565785</v>
      </c>
      <c r="AQ104" s="149"/>
      <c r="AR104" s="149"/>
      <c r="AS104" s="149"/>
      <c r="AT104" s="149"/>
      <c r="AU104" s="173"/>
    </row>
    <row r="105" spans="1:47" s="168" customFormat="1" ht="11.25" customHeight="1">
      <c r="A105" s="148"/>
      <c r="B105" s="157"/>
      <c r="C105" s="158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8"/>
      <c r="T105" s="158"/>
      <c r="U105" s="158"/>
      <c r="V105" s="158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P105" s="147"/>
      <c r="AQ105" s="16"/>
      <c r="AR105" s="16"/>
      <c r="AS105" s="16"/>
      <c r="AT105" s="16"/>
      <c r="AU105" s="157"/>
    </row>
    <row r="106" spans="1:47" s="168" customFormat="1" ht="11.25" customHeight="1">
      <c r="A106" s="175" t="s">
        <v>414</v>
      </c>
      <c r="B106" s="157"/>
      <c r="C106" s="158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8"/>
      <c r="T106" s="158"/>
      <c r="U106" s="158"/>
      <c r="V106" s="158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P106" s="147"/>
      <c r="AQ106" s="16"/>
      <c r="AR106" s="16"/>
      <c r="AS106" s="16"/>
      <c r="AT106" s="16"/>
      <c r="AU106" s="157"/>
    </row>
    <row r="107" spans="1:47" s="168" customFormat="1" ht="11.25" customHeight="1">
      <c r="A107" s="148"/>
      <c r="B107" s="157"/>
      <c r="C107" s="158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8"/>
      <c r="T107" s="158"/>
      <c r="U107" s="158"/>
      <c r="V107" s="158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P107" s="147"/>
      <c r="AQ107" s="16"/>
      <c r="AR107" s="16"/>
      <c r="AS107" s="16"/>
      <c r="AT107" s="16"/>
      <c r="AU107" s="157"/>
    </row>
    <row r="108" spans="1:47" s="168" customFormat="1" ht="11.25" customHeight="1" hidden="1" outlineLevel="1">
      <c r="A108" s="169" t="s">
        <v>403</v>
      </c>
      <c r="B108" s="157">
        <v>0</v>
      </c>
      <c r="C108" s="157">
        <v>0</v>
      </c>
      <c r="D108" s="157">
        <v>0</v>
      </c>
      <c r="E108" s="157">
        <v>0</v>
      </c>
      <c r="F108" s="157"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57">
        <v>0</v>
      </c>
      <c r="Y108" s="157">
        <v>0</v>
      </c>
      <c r="Z108" s="157">
        <v>0</v>
      </c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57">
        <v>0</v>
      </c>
      <c r="AM108" s="157">
        <v>0</v>
      </c>
      <c r="AN108" s="157">
        <v>0</v>
      </c>
      <c r="AO108" s="16"/>
      <c r="AP108" s="147">
        <f t="shared" si="15"/>
        <v>0</v>
      </c>
      <c r="AQ108" s="16"/>
      <c r="AR108" s="16"/>
      <c r="AS108" s="16"/>
      <c r="AT108" s="16"/>
      <c r="AU108" s="157"/>
    </row>
    <row r="109" spans="1:47" s="168" customFormat="1" ht="11.25" customHeight="1" hidden="1" outlineLevel="1">
      <c r="A109" s="148"/>
      <c r="B109" s="157"/>
      <c r="C109" s="158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8"/>
      <c r="T109" s="158"/>
      <c r="U109" s="158"/>
      <c r="V109" s="158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P109" s="147"/>
      <c r="AQ109" s="16"/>
      <c r="AR109" s="16"/>
      <c r="AS109" s="16"/>
      <c r="AT109" s="16"/>
      <c r="AU109" s="157"/>
    </row>
    <row r="110" spans="1:47" s="168" customFormat="1" ht="11.25" customHeight="1" hidden="1" outlineLevel="1">
      <c r="A110" s="148" t="s">
        <v>476</v>
      </c>
      <c r="B110" s="157"/>
      <c r="C110" s="158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8"/>
      <c r="T110" s="158"/>
      <c r="U110" s="158"/>
      <c r="V110" s="158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P110" s="147"/>
      <c r="AQ110" s="16"/>
      <c r="AR110" s="16"/>
      <c r="AS110" s="16"/>
      <c r="AT110" s="16"/>
      <c r="AU110" s="157"/>
    </row>
    <row r="111" spans="1:47" s="168" customFormat="1" ht="11.25" customHeight="1" hidden="1" outlineLevel="1">
      <c r="A111" s="148" t="s">
        <v>256</v>
      </c>
      <c r="B111" s="157">
        <v>0</v>
      </c>
      <c r="C111" s="157">
        <v>0</v>
      </c>
      <c r="D111" s="157">
        <v>0</v>
      </c>
      <c r="E111" s="157">
        <v>0</v>
      </c>
      <c r="F111" s="15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/>
      <c r="AP111" s="147">
        <f t="shared" si="15"/>
        <v>0</v>
      </c>
      <c r="AQ111" s="16"/>
      <c r="AR111" s="16"/>
      <c r="AS111" s="16"/>
      <c r="AT111" s="16"/>
      <c r="AU111" s="157"/>
    </row>
    <row r="112" spans="1:47" s="168" customFormat="1" ht="11.25" customHeight="1" hidden="1" outlineLevel="1">
      <c r="A112" s="148" t="s">
        <v>257</v>
      </c>
      <c r="B112" s="157">
        <v>0</v>
      </c>
      <c r="C112" s="157">
        <v>0</v>
      </c>
      <c r="D112" s="157">
        <v>0</v>
      </c>
      <c r="E112" s="157"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46599</v>
      </c>
      <c r="P112" s="157">
        <v>3629</v>
      </c>
      <c r="Q112" s="157">
        <v>592</v>
      </c>
      <c r="R112" s="157">
        <v>0</v>
      </c>
      <c r="S112" s="157">
        <v>0</v>
      </c>
      <c r="T112" s="157">
        <v>0</v>
      </c>
      <c r="U112" s="157">
        <v>0</v>
      </c>
      <c r="V112" s="157">
        <v>0</v>
      </c>
      <c r="W112" s="157">
        <v>0</v>
      </c>
      <c r="X112" s="157">
        <v>0</v>
      </c>
      <c r="Y112" s="157">
        <v>0</v>
      </c>
      <c r="Z112" s="157">
        <v>0</v>
      </c>
      <c r="AA112" s="157">
        <v>0</v>
      </c>
      <c r="AB112" s="157">
        <v>0</v>
      </c>
      <c r="AC112" s="157">
        <v>0</v>
      </c>
      <c r="AD112" s="157">
        <v>0</v>
      </c>
      <c r="AE112" s="157">
        <v>0</v>
      </c>
      <c r="AF112" s="157">
        <v>0</v>
      </c>
      <c r="AG112" s="157">
        <v>0</v>
      </c>
      <c r="AH112" s="157">
        <v>0</v>
      </c>
      <c r="AI112" s="157">
        <v>0</v>
      </c>
      <c r="AJ112" s="157">
        <v>0</v>
      </c>
      <c r="AK112" s="157">
        <v>0</v>
      </c>
      <c r="AL112" s="157">
        <v>0</v>
      </c>
      <c r="AM112" s="157">
        <v>0</v>
      </c>
      <c r="AN112" s="157">
        <v>0</v>
      </c>
      <c r="AO112" s="157"/>
      <c r="AP112" s="147">
        <f t="shared" si="15"/>
        <v>50820</v>
      </c>
      <c r="AQ112" s="16"/>
      <c r="AR112" s="16"/>
      <c r="AS112" s="16"/>
      <c r="AT112" s="16"/>
      <c r="AU112" s="157"/>
    </row>
    <row r="113" spans="1:47" s="168" customFormat="1" ht="11.25" customHeight="1" hidden="1" outlineLevel="1">
      <c r="A113" s="148" t="s">
        <v>258</v>
      </c>
      <c r="B113" s="157">
        <v>0</v>
      </c>
      <c r="C113" s="157">
        <v>0</v>
      </c>
      <c r="D113" s="157">
        <v>0</v>
      </c>
      <c r="E113" s="157"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133896</v>
      </c>
      <c r="P113" s="157">
        <v>10530</v>
      </c>
      <c r="Q113" s="157">
        <v>23192</v>
      </c>
      <c r="R113" s="157">
        <v>0</v>
      </c>
      <c r="S113" s="157">
        <v>0</v>
      </c>
      <c r="T113" s="157">
        <v>0</v>
      </c>
      <c r="U113" s="157">
        <v>0</v>
      </c>
      <c r="V113" s="157">
        <v>0</v>
      </c>
      <c r="W113" s="157">
        <v>0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0</v>
      </c>
      <c r="AN113" s="157">
        <v>0</v>
      </c>
      <c r="AO113" s="157"/>
      <c r="AP113" s="147">
        <f t="shared" si="15"/>
        <v>167618</v>
      </c>
      <c r="AQ113" s="16"/>
      <c r="AR113" s="16"/>
      <c r="AS113" s="16"/>
      <c r="AT113" s="16"/>
      <c r="AU113" s="157"/>
    </row>
    <row r="114" spans="1:47" s="168" customFormat="1" ht="11.25" customHeight="1" hidden="1" outlineLevel="1">
      <c r="A114" s="148" t="s">
        <v>259</v>
      </c>
      <c r="B114" s="157">
        <v>98</v>
      </c>
      <c r="C114" s="159">
        <v>0</v>
      </c>
      <c r="D114" s="172">
        <v>1452.4</v>
      </c>
      <c r="E114" s="157"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7">
        <v>0</v>
      </c>
      <c r="Q114" s="157">
        <v>0</v>
      </c>
      <c r="R114" s="157">
        <v>0</v>
      </c>
      <c r="S114" s="157">
        <v>2057.091</v>
      </c>
      <c r="T114" s="157">
        <v>4987.59</v>
      </c>
      <c r="U114" s="157">
        <v>402.058</v>
      </c>
      <c r="V114" s="157">
        <v>1606.209</v>
      </c>
      <c r="W114" s="157">
        <v>0</v>
      </c>
      <c r="X114" s="157">
        <v>21082</v>
      </c>
      <c r="Y114" s="157">
        <v>710</v>
      </c>
      <c r="Z114" s="157">
        <v>1</v>
      </c>
      <c r="AA114" s="157">
        <v>0</v>
      </c>
      <c r="AB114" s="157">
        <v>0</v>
      </c>
      <c r="AC114" s="157">
        <v>0</v>
      </c>
      <c r="AD114" s="157">
        <v>0</v>
      </c>
      <c r="AE114" s="157">
        <v>496.087</v>
      </c>
      <c r="AF114" s="157">
        <v>34.181</v>
      </c>
      <c r="AG114" s="157">
        <v>501.54</v>
      </c>
      <c r="AH114" s="157">
        <v>0</v>
      </c>
      <c r="AI114" s="157">
        <v>15937.525</v>
      </c>
      <c r="AJ114" s="157">
        <v>15841.697</v>
      </c>
      <c r="AK114" s="157">
        <v>5693.404</v>
      </c>
      <c r="AL114" s="157">
        <v>0</v>
      </c>
      <c r="AM114" s="157">
        <v>0</v>
      </c>
      <c r="AN114" s="157">
        <v>10592</v>
      </c>
      <c r="AO114" s="157"/>
      <c r="AP114" s="147">
        <f t="shared" si="15"/>
        <v>81492.78199999999</v>
      </c>
      <c r="AQ114" s="16"/>
      <c r="AR114" s="16"/>
      <c r="AS114" s="16"/>
      <c r="AT114" s="16"/>
      <c r="AU114" s="157"/>
    </row>
    <row r="115" spans="1:47" s="168" customFormat="1" ht="11.25" customHeight="1" collapsed="1">
      <c r="A115" s="169" t="s">
        <v>260</v>
      </c>
      <c r="B115" s="16">
        <f>SUM(B111:B114)</f>
        <v>98</v>
      </c>
      <c r="C115" s="16">
        <f aca="true" t="shared" si="17" ref="C115:AN115">SUM(C111:C114)</f>
        <v>0</v>
      </c>
      <c r="D115" s="16">
        <f t="shared" si="17"/>
        <v>1452.4</v>
      </c>
      <c r="E115" s="16">
        <f t="shared" si="17"/>
        <v>0</v>
      </c>
      <c r="F115" s="16">
        <f t="shared" si="17"/>
        <v>0</v>
      </c>
      <c r="G115" s="16">
        <f t="shared" si="17"/>
        <v>0</v>
      </c>
      <c r="H115" s="16">
        <f t="shared" si="17"/>
        <v>0</v>
      </c>
      <c r="I115" s="16">
        <f t="shared" si="17"/>
        <v>0</v>
      </c>
      <c r="J115" s="16">
        <f t="shared" si="17"/>
        <v>0</v>
      </c>
      <c r="K115" s="16">
        <f t="shared" si="17"/>
        <v>0</v>
      </c>
      <c r="L115" s="16">
        <f t="shared" si="17"/>
        <v>0</v>
      </c>
      <c r="M115" s="16">
        <f>SUM(M111:M114)</f>
        <v>0</v>
      </c>
      <c r="N115" s="16">
        <f>SUM(N111:N114)</f>
        <v>0</v>
      </c>
      <c r="O115" s="16">
        <f>SUM(O111:O114)</f>
        <v>180495</v>
      </c>
      <c r="P115" s="16">
        <f>SUM(P111:P114)</f>
        <v>14159</v>
      </c>
      <c r="Q115" s="16">
        <f>SUM(Q111:Q114)</f>
        <v>23784</v>
      </c>
      <c r="R115" s="16">
        <f t="shared" si="17"/>
        <v>0</v>
      </c>
      <c r="S115" s="16">
        <f t="shared" si="17"/>
        <v>2057.091</v>
      </c>
      <c r="T115" s="16">
        <f t="shared" si="17"/>
        <v>4987.59</v>
      </c>
      <c r="U115" s="16">
        <f t="shared" si="17"/>
        <v>402.058</v>
      </c>
      <c r="V115" s="16">
        <f t="shared" si="17"/>
        <v>1606.209</v>
      </c>
      <c r="W115" s="16">
        <f t="shared" si="17"/>
        <v>0</v>
      </c>
      <c r="X115" s="16">
        <f t="shared" si="17"/>
        <v>21082</v>
      </c>
      <c r="Y115" s="16">
        <f t="shared" si="17"/>
        <v>710</v>
      </c>
      <c r="Z115" s="16">
        <f t="shared" si="17"/>
        <v>1</v>
      </c>
      <c r="AA115" s="16">
        <f t="shared" si="17"/>
        <v>0</v>
      </c>
      <c r="AB115" s="16">
        <f t="shared" si="17"/>
        <v>0</v>
      </c>
      <c r="AC115" s="16">
        <f t="shared" si="17"/>
        <v>0</v>
      </c>
      <c r="AD115" s="16">
        <f t="shared" si="17"/>
        <v>0</v>
      </c>
      <c r="AE115" s="16">
        <f>SUM(AE111:AE114)</f>
        <v>496.087</v>
      </c>
      <c r="AF115" s="16">
        <f>SUM(AF111:AF114)</f>
        <v>34.181</v>
      </c>
      <c r="AG115" s="16">
        <f>SUM(AG111:AG114)</f>
        <v>501.54</v>
      </c>
      <c r="AH115" s="16">
        <f>SUM(AH111:AH114)</f>
        <v>0</v>
      </c>
      <c r="AI115" s="16">
        <f>SUM(AI111:AI114)</f>
        <v>15937.525</v>
      </c>
      <c r="AJ115" s="16">
        <f t="shared" si="17"/>
        <v>15841.697</v>
      </c>
      <c r="AK115" s="16">
        <f t="shared" si="17"/>
        <v>5693.404</v>
      </c>
      <c r="AL115" s="16">
        <f t="shared" si="17"/>
        <v>0</v>
      </c>
      <c r="AM115" s="16">
        <f t="shared" si="17"/>
        <v>0</v>
      </c>
      <c r="AN115" s="16">
        <f t="shared" si="17"/>
        <v>10592</v>
      </c>
      <c r="AO115" s="16"/>
      <c r="AP115" s="147">
        <f t="shared" si="15"/>
        <v>299930.78199999995</v>
      </c>
      <c r="AQ115" s="16"/>
      <c r="AR115" s="16"/>
      <c r="AS115" s="16"/>
      <c r="AT115" s="16"/>
      <c r="AU115" s="157"/>
    </row>
    <row r="116" spans="1:47" s="168" customFormat="1" ht="11.25" customHeight="1">
      <c r="A116" s="169"/>
      <c r="B116" s="157"/>
      <c r="C116" s="158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7"/>
      <c r="T116" s="157"/>
      <c r="U116" s="157"/>
      <c r="V116" s="157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P116" s="147"/>
      <c r="AQ116" s="16"/>
      <c r="AR116" s="16"/>
      <c r="AS116" s="16"/>
      <c r="AT116" s="16"/>
      <c r="AU116" s="157"/>
    </row>
    <row r="117" spans="1:47" s="168" customFormat="1" ht="11.25" customHeight="1">
      <c r="A117" s="169" t="s">
        <v>404</v>
      </c>
      <c r="B117" s="157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188</v>
      </c>
      <c r="I117" s="16">
        <v>6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57">
        <v>0</v>
      </c>
      <c r="P117" s="157">
        <v>0</v>
      </c>
      <c r="Q117" s="157">
        <v>0</v>
      </c>
      <c r="R117" s="16">
        <v>0</v>
      </c>
      <c r="S117" s="157">
        <v>0</v>
      </c>
      <c r="T117" s="157">
        <v>0</v>
      </c>
      <c r="U117" s="157">
        <v>0</v>
      </c>
      <c r="V117" s="157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7589.892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/>
      <c r="AP117" s="147">
        <f t="shared" si="15"/>
        <v>7783.892</v>
      </c>
      <c r="AQ117" s="16"/>
      <c r="AR117" s="16"/>
      <c r="AS117" s="16"/>
      <c r="AT117" s="16"/>
      <c r="AU117" s="157"/>
    </row>
    <row r="118" spans="1:47" s="168" customFormat="1" ht="11.25" customHeight="1">
      <c r="A118" s="169"/>
      <c r="B118" s="157"/>
      <c r="C118" s="158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7"/>
      <c r="T118" s="157"/>
      <c r="U118" s="157"/>
      <c r="V118" s="157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P118" s="147"/>
      <c r="AQ118" s="16"/>
      <c r="AR118" s="16"/>
      <c r="AS118" s="16"/>
      <c r="AT118" s="16"/>
      <c r="AU118" s="157"/>
    </row>
    <row r="119" spans="1:47" s="174" customFormat="1" ht="11.25" customHeight="1">
      <c r="A119" s="221" t="s">
        <v>417</v>
      </c>
      <c r="B119" s="16">
        <f>+B108+B115+B117</f>
        <v>98</v>
      </c>
      <c r="C119" s="16">
        <f aca="true" t="shared" si="18" ref="C119:AN119">+C108+C115+C117</f>
        <v>0</v>
      </c>
      <c r="D119" s="16">
        <f t="shared" si="18"/>
        <v>1452.4</v>
      </c>
      <c r="E119" s="16">
        <f t="shared" si="18"/>
        <v>0</v>
      </c>
      <c r="F119" s="16">
        <f t="shared" si="18"/>
        <v>0</v>
      </c>
      <c r="G119" s="16">
        <f t="shared" si="18"/>
        <v>0</v>
      </c>
      <c r="H119" s="16">
        <f t="shared" si="18"/>
        <v>188</v>
      </c>
      <c r="I119" s="16">
        <f t="shared" si="18"/>
        <v>6</v>
      </c>
      <c r="J119" s="16">
        <f t="shared" si="18"/>
        <v>0</v>
      </c>
      <c r="K119" s="16">
        <f t="shared" si="18"/>
        <v>0</v>
      </c>
      <c r="L119" s="16">
        <f t="shared" si="18"/>
        <v>0</v>
      </c>
      <c r="M119" s="16">
        <f t="shared" si="18"/>
        <v>0</v>
      </c>
      <c r="N119" s="16">
        <f t="shared" si="18"/>
        <v>0</v>
      </c>
      <c r="O119" s="16">
        <f>+O108+O115+O117</f>
        <v>180495</v>
      </c>
      <c r="P119" s="16">
        <f>+P108+P115+P117</f>
        <v>14159</v>
      </c>
      <c r="Q119" s="16">
        <f>+Q108+Q115+Q117</f>
        <v>23784</v>
      </c>
      <c r="R119" s="16">
        <f t="shared" si="18"/>
        <v>0</v>
      </c>
      <c r="S119" s="16">
        <f t="shared" si="18"/>
        <v>2057.091</v>
      </c>
      <c r="T119" s="16">
        <f t="shared" si="18"/>
        <v>4987.59</v>
      </c>
      <c r="U119" s="16">
        <f t="shared" si="18"/>
        <v>402.058</v>
      </c>
      <c r="V119" s="16">
        <f t="shared" si="18"/>
        <v>1606.209</v>
      </c>
      <c r="W119" s="16">
        <f t="shared" si="18"/>
        <v>0</v>
      </c>
      <c r="X119" s="16">
        <f t="shared" si="18"/>
        <v>21082</v>
      </c>
      <c r="Y119" s="16">
        <f t="shared" si="18"/>
        <v>710</v>
      </c>
      <c r="Z119" s="16">
        <f t="shared" si="18"/>
        <v>1</v>
      </c>
      <c r="AA119" s="16">
        <f t="shared" si="18"/>
        <v>0</v>
      </c>
      <c r="AB119" s="16">
        <f t="shared" si="18"/>
        <v>0</v>
      </c>
      <c r="AC119" s="16">
        <f t="shared" si="18"/>
        <v>0</v>
      </c>
      <c r="AD119" s="16">
        <f t="shared" si="18"/>
        <v>0</v>
      </c>
      <c r="AE119" s="16">
        <f>+AE108+AE115+AE117</f>
        <v>496.087</v>
      </c>
      <c r="AF119" s="16">
        <f>+AF108+AF115+AF117</f>
        <v>34.181</v>
      </c>
      <c r="AG119" s="16">
        <f>+AG108+AG115+AG117</f>
        <v>501.54</v>
      </c>
      <c r="AH119" s="16">
        <f t="shared" si="18"/>
        <v>0</v>
      </c>
      <c r="AI119" s="16">
        <f t="shared" si="18"/>
        <v>23527.417</v>
      </c>
      <c r="AJ119" s="16">
        <f t="shared" si="18"/>
        <v>15841.697</v>
      </c>
      <c r="AK119" s="16">
        <f>+AK108+AK115+AK117</f>
        <v>5693.404</v>
      </c>
      <c r="AL119" s="16">
        <f t="shared" si="18"/>
        <v>0</v>
      </c>
      <c r="AM119" s="16">
        <f t="shared" si="18"/>
        <v>0</v>
      </c>
      <c r="AN119" s="16">
        <f t="shared" si="18"/>
        <v>10592</v>
      </c>
      <c r="AO119" s="149"/>
      <c r="AP119" s="147">
        <f t="shared" si="15"/>
        <v>307714.67399999994</v>
      </c>
      <c r="AQ119" s="149"/>
      <c r="AR119" s="149"/>
      <c r="AS119" s="149"/>
      <c r="AT119" s="149"/>
      <c r="AU119" s="173"/>
    </row>
    <row r="120" spans="1:47" s="168" customFormat="1" ht="11.25" customHeight="1">
      <c r="A120" s="17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P120" s="147"/>
      <c r="AQ120" s="16"/>
      <c r="AR120" s="16"/>
      <c r="AS120" s="16"/>
      <c r="AT120" s="16"/>
      <c r="AU120" s="157"/>
    </row>
    <row r="121" spans="1:47" s="174" customFormat="1" ht="11.25" customHeight="1">
      <c r="A121" s="221" t="s">
        <v>420</v>
      </c>
      <c r="B121" s="149">
        <f>+B104-B119</f>
        <v>2345737</v>
      </c>
      <c r="C121" s="149">
        <f aca="true" t="shared" si="19" ref="C121:AN121">+C104-C119</f>
        <v>645240.8</v>
      </c>
      <c r="D121" s="149">
        <f t="shared" si="19"/>
        <v>280141.1</v>
      </c>
      <c r="E121" s="149">
        <f t="shared" si="19"/>
        <v>2963747</v>
      </c>
      <c r="F121" s="149">
        <f t="shared" si="19"/>
        <v>299177</v>
      </c>
      <c r="G121" s="149">
        <f t="shared" si="19"/>
        <v>755431</v>
      </c>
      <c r="H121" s="149">
        <f t="shared" si="19"/>
        <v>156686</v>
      </c>
      <c r="I121" s="149">
        <f t="shared" si="19"/>
        <v>12291</v>
      </c>
      <c r="J121" s="149">
        <f t="shared" si="19"/>
        <v>22752</v>
      </c>
      <c r="K121" s="149">
        <f t="shared" si="19"/>
        <v>233237</v>
      </c>
      <c r="L121" s="149">
        <f t="shared" si="19"/>
        <v>1404316</v>
      </c>
      <c r="M121" s="149">
        <f t="shared" si="19"/>
        <v>289241</v>
      </c>
      <c r="N121" s="149">
        <f t="shared" si="19"/>
        <v>894725</v>
      </c>
      <c r="O121" s="149">
        <f>+O104-O119</f>
        <v>24939593</v>
      </c>
      <c r="P121" s="149">
        <f>+P104-P119</f>
        <v>1865544</v>
      </c>
      <c r="Q121" s="149">
        <f>+Q104-Q119</f>
        <v>3751006</v>
      </c>
      <c r="R121" s="149">
        <f t="shared" si="19"/>
        <v>198140</v>
      </c>
      <c r="S121" s="149">
        <f t="shared" si="19"/>
        <v>5103609.563654003</v>
      </c>
      <c r="T121" s="149">
        <f t="shared" si="19"/>
        <v>18784631.48373365</v>
      </c>
      <c r="U121" s="149">
        <f t="shared" si="19"/>
        <v>1639993.7282702194</v>
      </c>
      <c r="V121" s="149">
        <f t="shared" si="19"/>
        <v>937915.1259999999</v>
      </c>
      <c r="W121" s="149">
        <f t="shared" si="19"/>
        <v>148487</v>
      </c>
      <c r="X121" s="149">
        <f t="shared" si="19"/>
        <v>421023</v>
      </c>
      <c r="Y121" s="149">
        <f t="shared" si="19"/>
        <v>1323209</v>
      </c>
      <c r="Z121" s="149">
        <f t="shared" si="19"/>
        <v>60691</v>
      </c>
      <c r="AA121" s="149">
        <f t="shared" si="19"/>
        <v>184109.016</v>
      </c>
      <c r="AB121" s="149">
        <f t="shared" si="19"/>
        <v>791781</v>
      </c>
      <c r="AC121" s="149">
        <f t="shared" si="19"/>
        <v>25059</v>
      </c>
      <c r="AD121" s="149">
        <f t="shared" si="19"/>
        <v>68198</v>
      </c>
      <c r="AE121" s="149">
        <f>+AE104-AE119</f>
        <v>305624.54899999994</v>
      </c>
      <c r="AF121" s="149">
        <f>+AF104-AF119</f>
        <v>47456.819</v>
      </c>
      <c r="AG121" s="149">
        <f>+AG104-AG119</f>
        <v>30766.997</v>
      </c>
      <c r="AH121" s="149">
        <f t="shared" si="19"/>
        <v>63938</v>
      </c>
      <c r="AI121" s="149">
        <f t="shared" si="19"/>
        <v>3429628.9639999997</v>
      </c>
      <c r="AJ121" s="149">
        <f t="shared" si="19"/>
        <v>4609421.651000001</v>
      </c>
      <c r="AK121" s="149">
        <f>+AK104-AK119</f>
        <v>1098336.0419999997</v>
      </c>
      <c r="AL121" s="149">
        <f t="shared" si="19"/>
        <v>159688.712</v>
      </c>
      <c r="AM121" s="149">
        <f t="shared" si="19"/>
        <v>13561</v>
      </c>
      <c r="AN121" s="149">
        <f t="shared" si="19"/>
        <v>1656830</v>
      </c>
      <c r="AO121" s="149"/>
      <c r="AP121" s="151">
        <f t="shared" si="15"/>
        <v>81960964.55165787</v>
      </c>
      <c r="AQ121" s="149"/>
      <c r="AS121" s="149"/>
      <c r="AT121" s="149"/>
      <c r="AU121" s="173"/>
    </row>
    <row r="122" spans="19:46" s="168" customFormat="1" ht="11.25" customHeight="1">
      <c r="S122" s="157"/>
      <c r="T122" s="157"/>
      <c r="U122" s="157"/>
      <c r="V122" s="157"/>
      <c r="AQ122" s="16"/>
      <c r="AS122" s="16"/>
      <c r="AT122" s="16"/>
    </row>
    <row r="123" spans="2:44" s="168" customFormat="1" ht="11.25" customHeight="1">
      <c r="B123" s="147"/>
      <c r="C123" s="147"/>
      <c r="D123" s="147"/>
      <c r="E123" s="14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6"/>
      <c r="AR123" s="147"/>
    </row>
    <row r="124" spans="2:44" s="168" customFormat="1" ht="11.25" customHeight="1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6"/>
      <c r="AR124" s="147"/>
    </row>
    <row r="125" spans="1:22" s="168" customFormat="1" ht="15.75" customHeight="1">
      <c r="A125" s="178" t="s">
        <v>398</v>
      </c>
      <c r="S125" s="157"/>
      <c r="T125" s="157"/>
      <c r="U125" s="157"/>
      <c r="V125" s="157"/>
    </row>
    <row r="126" spans="1:47" ht="11.25" customHeight="1" hidden="1" outlineLevel="1">
      <c r="A126" s="169" t="s">
        <v>318</v>
      </c>
      <c r="B126" s="152"/>
      <c r="C126" s="152"/>
      <c r="D126" s="152"/>
      <c r="E126" s="16"/>
      <c r="F126" s="152"/>
      <c r="G126" s="152"/>
      <c r="H126" s="152"/>
      <c r="I126" s="152"/>
      <c r="J126" s="152"/>
      <c r="M126" s="152"/>
      <c r="N126" s="152"/>
      <c r="R126" s="152"/>
      <c r="W126" s="152"/>
      <c r="X126" s="152"/>
      <c r="Y126" s="152"/>
      <c r="Z126" s="152"/>
      <c r="AN126" s="152"/>
      <c r="AO126" s="16"/>
      <c r="AQ126" s="16"/>
      <c r="AR126" s="16"/>
      <c r="AS126" s="16"/>
      <c r="AT126" s="16"/>
      <c r="AU126" s="16"/>
    </row>
    <row r="127" spans="1:47" ht="11.25" customHeight="1" hidden="1" outlineLevel="1">
      <c r="A127" s="148" t="s">
        <v>319</v>
      </c>
      <c r="B127" s="156">
        <v>365433</v>
      </c>
      <c r="C127" s="156">
        <v>179910</v>
      </c>
      <c r="D127" s="156">
        <v>61871</v>
      </c>
      <c r="E127" s="156">
        <v>687046</v>
      </c>
      <c r="F127" s="156">
        <v>50271.153</v>
      </c>
      <c r="G127" s="156">
        <v>239993.4</v>
      </c>
      <c r="H127" s="156">
        <v>35193</v>
      </c>
      <c r="I127" s="156">
        <v>5044</v>
      </c>
      <c r="J127" s="156">
        <v>5719</v>
      </c>
      <c r="K127" s="156">
        <v>25167</v>
      </c>
      <c r="L127" s="156">
        <v>432420</v>
      </c>
      <c r="M127" s="156">
        <v>28365</v>
      </c>
      <c r="N127" s="156">
        <v>138489</v>
      </c>
      <c r="O127" s="156">
        <v>1684126</v>
      </c>
      <c r="P127" s="156">
        <v>328189</v>
      </c>
      <c r="Q127" s="156">
        <v>249106</v>
      </c>
      <c r="R127" s="156">
        <v>50204</v>
      </c>
      <c r="S127" s="16">
        <v>829484.666</v>
      </c>
      <c r="T127" s="16">
        <v>1299695.512</v>
      </c>
      <c r="U127" s="16">
        <v>386172.069</v>
      </c>
      <c r="V127" s="16">
        <v>270249.16</v>
      </c>
      <c r="W127" s="156">
        <v>0</v>
      </c>
      <c r="X127" s="156">
        <v>145257</v>
      </c>
      <c r="Y127" s="156">
        <v>110668</v>
      </c>
      <c r="Z127" s="156">
        <v>26291</v>
      </c>
      <c r="AA127" s="156">
        <v>51585.93</v>
      </c>
      <c r="AB127" s="157">
        <v>161548.415</v>
      </c>
      <c r="AC127" s="157">
        <v>6573</v>
      </c>
      <c r="AD127" s="157">
        <v>17416</v>
      </c>
      <c r="AE127" s="156">
        <v>48376.638</v>
      </c>
      <c r="AF127" s="156">
        <v>6617.637</v>
      </c>
      <c r="AG127" s="156">
        <v>7258.844</v>
      </c>
      <c r="AH127" s="156">
        <v>23519</v>
      </c>
      <c r="AI127" s="157">
        <v>602754.372</v>
      </c>
      <c r="AJ127" s="157">
        <v>634958.439</v>
      </c>
      <c r="AK127" s="157">
        <v>97251.366</v>
      </c>
      <c r="AL127" s="157">
        <v>157364.446</v>
      </c>
      <c r="AM127" s="156">
        <v>4832</v>
      </c>
      <c r="AN127" s="156">
        <v>54738</v>
      </c>
      <c r="AO127" s="157"/>
      <c r="AP127" s="147">
        <f aca="true" t="shared" si="20" ref="AP127:AP163">SUM(B127:AN127)</f>
        <v>9509158.047</v>
      </c>
      <c r="AQ127" s="16"/>
      <c r="AR127" s="16"/>
      <c r="AS127" s="16"/>
      <c r="AT127" s="16"/>
      <c r="AU127" s="157"/>
    </row>
    <row r="128" spans="1:47" ht="11.25" customHeight="1" hidden="1" outlineLevel="1">
      <c r="A128" s="148" t="s">
        <v>320</v>
      </c>
      <c r="B128" s="156">
        <v>60331</v>
      </c>
      <c r="C128" s="156">
        <v>7072</v>
      </c>
      <c r="D128" s="156">
        <v>23327</v>
      </c>
      <c r="E128" s="156">
        <v>79766</v>
      </c>
      <c r="F128" s="156">
        <v>6615.306</v>
      </c>
      <c r="G128" s="156">
        <v>19106.5</v>
      </c>
      <c r="H128" s="156">
        <v>936</v>
      </c>
      <c r="I128" s="156">
        <v>63</v>
      </c>
      <c r="J128" s="156">
        <v>2033</v>
      </c>
      <c r="K128" s="156">
        <v>15165</v>
      </c>
      <c r="L128" s="156">
        <v>96412</v>
      </c>
      <c r="M128" s="156">
        <v>0</v>
      </c>
      <c r="N128" s="156">
        <v>0</v>
      </c>
      <c r="O128" s="156">
        <v>68069</v>
      </c>
      <c r="P128" s="156">
        <v>41081</v>
      </c>
      <c r="Q128" s="156">
        <v>342980</v>
      </c>
      <c r="R128" s="156">
        <v>242</v>
      </c>
      <c r="S128" s="16">
        <v>407659</v>
      </c>
      <c r="T128" s="16">
        <v>387457</v>
      </c>
      <c r="U128" s="16">
        <v>27033</v>
      </c>
      <c r="V128" s="16">
        <v>79481</v>
      </c>
      <c r="W128" s="156">
        <v>8918</v>
      </c>
      <c r="X128" s="156">
        <v>8757</v>
      </c>
      <c r="Y128" s="156">
        <v>88927</v>
      </c>
      <c r="Z128" s="156">
        <v>368</v>
      </c>
      <c r="AA128" s="156">
        <v>551.62</v>
      </c>
      <c r="AB128" s="157">
        <v>38577.554</v>
      </c>
      <c r="AC128" s="157">
        <v>154</v>
      </c>
      <c r="AD128" s="157">
        <v>236</v>
      </c>
      <c r="AE128" s="156">
        <v>2245.008</v>
      </c>
      <c r="AF128" s="156">
        <v>165.346</v>
      </c>
      <c r="AG128" s="156">
        <v>2748.515</v>
      </c>
      <c r="AH128" s="156">
        <v>0</v>
      </c>
      <c r="AI128" s="157">
        <v>27438.477</v>
      </c>
      <c r="AJ128" s="157">
        <v>30505.444</v>
      </c>
      <c r="AK128" s="157">
        <v>5719.219</v>
      </c>
      <c r="AL128" s="157">
        <v>5675.296</v>
      </c>
      <c r="AM128" s="156">
        <v>789</v>
      </c>
      <c r="AN128" s="156">
        <v>12083</v>
      </c>
      <c r="AO128" s="157"/>
      <c r="AP128" s="147">
        <f t="shared" si="20"/>
        <v>1898687.2849999997</v>
      </c>
      <c r="AQ128" s="16"/>
      <c r="AR128" s="16"/>
      <c r="AS128" s="16"/>
      <c r="AT128" s="16"/>
      <c r="AU128" s="157"/>
    </row>
    <row r="129" spans="1:47" ht="11.25" customHeight="1" hidden="1" outlineLevel="1">
      <c r="A129" s="148" t="s">
        <v>321</v>
      </c>
      <c r="B129" s="156">
        <v>0</v>
      </c>
      <c r="C129" s="156">
        <v>0</v>
      </c>
      <c r="D129" s="156">
        <v>0</v>
      </c>
      <c r="E129" s="156">
        <v>0</v>
      </c>
      <c r="F129" s="156">
        <v>5422.4</v>
      </c>
      <c r="G129" s="156">
        <v>13511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6">
        <v>0</v>
      </c>
      <c r="P129" s="16">
        <v>0</v>
      </c>
      <c r="Q129" s="16">
        <v>0</v>
      </c>
      <c r="R129" s="15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57">
        <v>0</v>
      </c>
      <c r="AC129" s="157">
        <v>0</v>
      </c>
      <c r="AD129" s="157">
        <v>0</v>
      </c>
      <c r="AE129" s="156">
        <v>0</v>
      </c>
      <c r="AF129" s="156">
        <v>0</v>
      </c>
      <c r="AG129" s="156">
        <v>0</v>
      </c>
      <c r="AH129" s="156">
        <v>0</v>
      </c>
      <c r="AI129" s="157">
        <v>0</v>
      </c>
      <c r="AJ129" s="157">
        <v>0</v>
      </c>
      <c r="AK129" s="157">
        <v>0</v>
      </c>
      <c r="AL129" s="157">
        <v>0</v>
      </c>
      <c r="AM129" s="156">
        <v>0</v>
      </c>
      <c r="AN129" s="156">
        <v>0</v>
      </c>
      <c r="AO129" s="157"/>
      <c r="AP129" s="147">
        <f t="shared" si="20"/>
        <v>18933.4</v>
      </c>
      <c r="AQ129" s="16"/>
      <c r="AR129" s="16"/>
      <c r="AS129" s="16"/>
      <c r="AT129" s="16"/>
      <c r="AU129" s="157"/>
    </row>
    <row r="130" spans="1:47" ht="11.25" customHeight="1" hidden="1" outlineLevel="1">
      <c r="A130" s="148" t="s">
        <v>322</v>
      </c>
      <c r="B130" s="156">
        <v>0</v>
      </c>
      <c r="C130" s="156">
        <v>0</v>
      </c>
      <c r="D130" s="156">
        <v>0</v>
      </c>
      <c r="E130" s="156">
        <v>100273</v>
      </c>
      <c r="F130" s="156">
        <v>49501.8</v>
      </c>
      <c r="G130" s="156">
        <v>33694.8</v>
      </c>
      <c r="H130" s="156">
        <v>511</v>
      </c>
      <c r="I130" s="156">
        <v>0</v>
      </c>
      <c r="J130" s="156">
        <v>0</v>
      </c>
      <c r="K130" s="156">
        <v>14975</v>
      </c>
      <c r="L130" s="156">
        <v>152127</v>
      </c>
      <c r="M130" s="156">
        <v>0</v>
      </c>
      <c r="N130" s="156">
        <v>0</v>
      </c>
      <c r="O130" s="156">
        <v>945134</v>
      </c>
      <c r="P130" s="156">
        <v>49095</v>
      </c>
      <c r="Q130" s="16">
        <v>0</v>
      </c>
      <c r="R130" s="156">
        <v>0</v>
      </c>
      <c r="S130" s="16">
        <v>68787.150208</v>
      </c>
      <c r="T130" s="16">
        <v>399825.31058399996</v>
      </c>
      <c r="U130" s="16">
        <v>26409.352312</v>
      </c>
      <c r="V130" s="16">
        <v>0</v>
      </c>
      <c r="W130" s="156">
        <v>6178</v>
      </c>
      <c r="X130" s="156">
        <v>26130</v>
      </c>
      <c r="Y130" s="16">
        <v>313567</v>
      </c>
      <c r="Z130" s="16">
        <v>0</v>
      </c>
      <c r="AA130" s="16">
        <v>0</v>
      </c>
      <c r="AB130" s="157">
        <v>54190.476</v>
      </c>
      <c r="AC130" s="157">
        <v>0</v>
      </c>
      <c r="AD130" s="157">
        <v>0</v>
      </c>
      <c r="AE130" s="156">
        <v>2768.388</v>
      </c>
      <c r="AF130" s="156">
        <v>0</v>
      </c>
      <c r="AG130" s="156">
        <v>0</v>
      </c>
      <c r="AH130" s="156">
        <v>0</v>
      </c>
      <c r="AI130" s="157">
        <v>4475.622</v>
      </c>
      <c r="AJ130" s="157">
        <v>7910.283</v>
      </c>
      <c r="AK130" s="157">
        <v>3857.635</v>
      </c>
      <c r="AL130" s="157">
        <v>0</v>
      </c>
      <c r="AM130" s="157">
        <v>0</v>
      </c>
      <c r="AN130" s="156">
        <v>30796</v>
      </c>
      <c r="AO130" s="157"/>
      <c r="AP130" s="147">
        <f t="shared" si="20"/>
        <v>2290206.817103999</v>
      </c>
      <c r="AQ130" s="16"/>
      <c r="AR130" s="16"/>
      <c r="AS130" s="16"/>
      <c r="AT130" s="16"/>
      <c r="AU130" s="157"/>
    </row>
    <row r="131" spans="1:47" ht="11.25" customHeight="1" hidden="1" outlineLevel="1">
      <c r="A131" s="148" t="s">
        <v>323</v>
      </c>
      <c r="B131" s="156">
        <v>175044</v>
      </c>
      <c r="C131" s="156">
        <v>16011</v>
      </c>
      <c r="D131" s="156">
        <v>0</v>
      </c>
      <c r="E131" s="156">
        <v>124729</v>
      </c>
      <c r="F131" s="156">
        <v>67945.2</v>
      </c>
      <c r="G131" s="156">
        <v>245395.8</v>
      </c>
      <c r="H131" s="156">
        <v>45682</v>
      </c>
      <c r="I131" s="156">
        <v>2524</v>
      </c>
      <c r="J131" s="156">
        <v>0</v>
      </c>
      <c r="K131" s="156">
        <v>42119</v>
      </c>
      <c r="L131" s="156">
        <v>0</v>
      </c>
      <c r="M131" s="156">
        <v>73348</v>
      </c>
      <c r="N131" s="156">
        <v>490866</v>
      </c>
      <c r="O131" s="156">
        <v>8035209</v>
      </c>
      <c r="P131" s="156">
        <v>387395</v>
      </c>
      <c r="Q131" s="16">
        <v>0</v>
      </c>
      <c r="R131" s="156">
        <v>0</v>
      </c>
      <c r="S131" s="16">
        <v>1804610.389</v>
      </c>
      <c r="T131" s="16">
        <v>4879108.945</v>
      </c>
      <c r="U131" s="16">
        <v>372106.748</v>
      </c>
      <c r="V131" s="16">
        <v>0</v>
      </c>
      <c r="W131" s="156">
        <v>37326</v>
      </c>
      <c r="X131" s="156">
        <v>0</v>
      </c>
      <c r="Y131" s="16">
        <v>228892</v>
      </c>
      <c r="Z131" s="156">
        <v>16890</v>
      </c>
      <c r="AA131" s="156">
        <v>1672.65</v>
      </c>
      <c r="AB131" s="157">
        <v>0</v>
      </c>
      <c r="AC131" s="157">
        <v>2902</v>
      </c>
      <c r="AD131" s="157">
        <v>16116</v>
      </c>
      <c r="AE131" s="156">
        <v>142634.463</v>
      </c>
      <c r="AF131" s="156">
        <v>15422.419</v>
      </c>
      <c r="AG131" s="156">
        <v>0</v>
      </c>
      <c r="AH131" s="156">
        <v>0</v>
      </c>
      <c r="AI131" s="157">
        <v>1931973.854</v>
      </c>
      <c r="AJ131" s="157">
        <v>1795564.901</v>
      </c>
      <c r="AK131" s="157">
        <v>526028.696</v>
      </c>
      <c r="AL131" s="157">
        <v>0</v>
      </c>
      <c r="AM131" s="157">
        <v>0</v>
      </c>
      <c r="AN131" s="156">
        <v>1470984</v>
      </c>
      <c r="AO131" s="157"/>
      <c r="AP131" s="147">
        <f t="shared" si="20"/>
        <v>22948501.064999998</v>
      </c>
      <c r="AQ131" s="16"/>
      <c r="AR131" s="16"/>
      <c r="AS131" s="16"/>
      <c r="AT131" s="16"/>
      <c r="AU131" s="157"/>
    </row>
    <row r="132" spans="1:47" ht="11.25" customHeight="1" hidden="1" outlineLevel="1">
      <c r="A132" s="148" t="s">
        <v>324</v>
      </c>
      <c r="B132" s="156">
        <v>554345</v>
      </c>
      <c r="C132" s="156">
        <v>51211</v>
      </c>
      <c r="D132" s="156">
        <v>0</v>
      </c>
      <c r="E132" s="156">
        <v>112611</v>
      </c>
      <c r="F132" s="156">
        <v>0</v>
      </c>
      <c r="G132" s="156">
        <v>0</v>
      </c>
      <c r="H132" s="156">
        <v>8085</v>
      </c>
      <c r="I132" s="156">
        <v>31</v>
      </c>
      <c r="J132" s="156">
        <v>0</v>
      </c>
      <c r="K132" s="156">
        <v>3150</v>
      </c>
      <c r="L132" s="156">
        <v>32000</v>
      </c>
      <c r="M132" s="156">
        <v>286417</v>
      </c>
      <c r="N132" s="156">
        <v>515197</v>
      </c>
      <c r="O132" s="156">
        <v>5497822</v>
      </c>
      <c r="P132" s="156">
        <v>119776.5</v>
      </c>
      <c r="Q132" s="16">
        <v>0</v>
      </c>
      <c r="R132" s="156">
        <v>0</v>
      </c>
      <c r="S132" s="16">
        <v>77242.677792</v>
      </c>
      <c r="T132" s="16">
        <v>448973.064666</v>
      </c>
      <c r="U132" s="16">
        <v>29655.670937999996</v>
      </c>
      <c r="V132" s="16">
        <v>0</v>
      </c>
      <c r="W132" s="16">
        <v>0</v>
      </c>
      <c r="X132" s="16">
        <v>103768</v>
      </c>
      <c r="Y132" s="16">
        <v>0</v>
      </c>
      <c r="Z132" s="16">
        <v>0</v>
      </c>
      <c r="AA132" s="16">
        <v>0</v>
      </c>
      <c r="AB132" s="157">
        <v>0</v>
      </c>
      <c r="AC132" s="157">
        <v>13816</v>
      </c>
      <c r="AD132" s="157">
        <v>25661</v>
      </c>
      <c r="AE132" s="156">
        <v>56351.04</v>
      </c>
      <c r="AF132" s="156">
        <v>217.59</v>
      </c>
      <c r="AG132" s="156">
        <v>0</v>
      </c>
      <c r="AH132" s="156">
        <v>0</v>
      </c>
      <c r="AI132" s="157">
        <v>0</v>
      </c>
      <c r="AJ132" s="157">
        <v>0</v>
      </c>
      <c r="AK132" s="157">
        <v>0</v>
      </c>
      <c r="AL132" s="157">
        <v>0</v>
      </c>
      <c r="AM132" s="157">
        <v>0</v>
      </c>
      <c r="AN132" s="157">
        <v>0</v>
      </c>
      <c r="AO132" s="157"/>
      <c r="AP132" s="147">
        <f t="shared" si="20"/>
        <v>7936330.543396</v>
      </c>
      <c r="AQ132" s="16"/>
      <c r="AR132" s="16"/>
      <c r="AS132" s="16"/>
      <c r="AT132" s="16"/>
      <c r="AU132" s="157"/>
    </row>
    <row r="133" spans="1:47" ht="11.25" customHeight="1" hidden="1" outlineLevel="1">
      <c r="A133" s="148" t="s">
        <v>325</v>
      </c>
      <c r="B133" s="156">
        <v>0</v>
      </c>
      <c r="C133" s="156">
        <v>0</v>
      </c>
      <c r="D133" s="156">
        <v>0</v>
      </c>
      <c r="E133" s="156">
        <v>0</v>
      </c>
      <c r="F133" s="156">
        <v>0</v>
      </c>
      <c r="G133" s="156">
        <v>0</v>
      </c>
      <c r="H133" s="156">
        <v>0</v>
      </c>
      <c r="I133" s="156">
        <v>0</v>
      </c>
      <c r="J133" s="156">
        <v>0</v>
      </c>
      <c r="K133" s="156">
        <v>0</v>
      </c>
      <c r="L133" s="156">
        <v>0</v>
      </c>
      <c r="M133" s="156">
        <v>0</v>
      </c>
      <c r="N133" s="156">
        <v>0</v>
      </c>
      <c r="O133" s="16">
        <v>0</v>
      </c>
      <c r="P133" s="16">
        <v>0</v>
      </c>
      <c r="Q133" s="16">
        <v>0</v>
      </c>
      <c r="R133" s="15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57">
        <v>0</v>
      </c>
      <c r="AC133" s="157">
        <v>0</v>
      </c>
      <c r="AD133" s="157">
        <v>0</v>
      </c>
      <c r="AE133" s="156">
        <v>0</v>
      </c>
      <c r="AF133" s="156">
        <v>0</v>
      </c>
      <c r="AG133" s="156">
        <v>0</v>
      </c>
      <c r="AH133" s="156">
        <v>0</v>
      </c>
      <c r="AI133" s="157">
        <v>0</v>
      </c>
      <c r="AJ133" s="157">
        <v>0</v>
      </c>
      <c r="AK133" s="157">
        <v>0</v>
      </c>
      <c r="AL133" s="157">
        <v>0</v>
      </c>
      <c r="AM133" s="157">
        <v>0</v>
      </c>
      <c r="AN133" s="157">
        <v>0</v>
      </c>
      <c r="AO133" s="157"/>
      <c r="AP133" s="147">
        <f t="shared" si="20"/>
        <v>0</v>
      </c>
      <c r="AQ133" s="16"/>
      <c r="AR133" s="16"/>
      <c r="AS133" s="16"/>
      <c r="AT133" s="16"/>
      <c r="AU133" s="157"/>
    </row>
    <row r="134" spans="1:47" ht="11.25" customHeight="1" hidden="1" outlineLevel="1">
      <c r="A134" s="148" t="s">
        <v>326</v>
      </c>
      <c r="B134" s="156">
        <v>0</v>
      </c>
      <c r="C134" s="156">
        <v>0</v>
      </c>
      <c r="D134" s="156">
        <v>0</v>
      </c>
      <c r="E134" s="156">
        <v>0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20232</v>
      </c>
      <c r="N134" s="156">
        <v>60697</v>
      </c>
      <c r="O134" s="16">
        <v>0</v>
      </c>
      <c r="P134" s="16">
        <v>0</v>
      </c>
      <c r="Q134" s="16">
        <v>0</v>
      </c>
      <c r="R134" s="15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57">
        <v>0</v>
      </c>
      <c r="AC134" s="157">
        <v>0</v>
      </c>
      <c r="AD134" s="157">
        <v>0</v>
      </c>
      <c r="AE134" s="156">
        <v>0</v>
      </c>
      <c r="AF134" s="156">
        <v>0</v>
      </c>
      <c r="AG134" s="156">
        <v>0</v>
      </c>
      <c r="AH134" s="156">
        <v>0</v>
      </c>
      <c r="AI134" s="157">
        <v>0</v>
      </c>
      <c r="AJ134" s="157">
        <v>0</v>
      </c>
      <c r="AK134" s="157">
        <v>0</v>
      </c>
      <c r="AL134" s="157">
        <v>0</v>
      </c>
      <c r="AM134" s="157">
        <v>0</v>
      </c>
      <c r="AN134" s="156">
        <v>0</v>
      </c>
      <c r="AO134" s="157"/>
      <c r="AP134" s="147">
        <f t="shared" si="20"/>
        <v>80929</v>
      </c>
      <c r="AQ134" s="16"/>
      <c r="AR134" s="16"/>
      <c r="AS134" s="16"/>
      <c r="AT134" s="16"/>
      <c r="AU134" s="157"/>
    </row>
    <row r="135" spans="1:47" ht="11.25" customHeight="1" hidden="1" outlineLevel="1">
      <c r="A135" s="148" t="s">
        <v>327</v>
      </c>
      <c r="B135" s="156">
        <v>0</v>
      </c>
      <c r="C135" s="156">
        <v>0</v>
      </c>
      <c r="D135" s="156">
        <v>0</v>
      </c>
      <c r="E135" s="156">
        <v>0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486</v>
      </c>
      <c r="L135" s="156">
        <v>8350</v>
      </c>
      <c r="M135" s="156">
        <v>0</v>
      </c>
      <c r="N135" s="156">
        <v>0</v>
      </c>
      <c r="O135" s="16">
        <v>0</v>
      </c>
      <c r="P135" s="16">
        <v>0</v>
      </c>
      <c r="Q135" s="16">
        <v>0</v>
      </c>
      <c r="R135" s="15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1988</v>
      </c>
      <c r="X135" s="16">
        <v>2485</v>
      </c>
      <c r="Y135" s="156">
        <v>1288</v>
      </c>
      <c r="Z135" s="16">
        <v>0</v>
      </c>
      <c r="AA135" s="156">
        <v>0</v>
      </c>
      <c r="AB135" s="157">
        <v>0</v>
      </c>
      <c r="AC135" s="157">
        <v>0</v>
      </c>
      <c r="AD135" s="157">
        <v>0</v>
      </c>
      <c r="AE135" s="156">
        <v>0</v>
      </c>
      <c r="AF135" s="156">
        <v>0</v>
      </c>
      <c r="AG135" s="156">
        <v>0</v>
      </c>
      <c r="AH135" s="156">
        <v>0</v>
      </c>
      <c r="AI135" s="157">
        <v>0</v>
      </c>
      <c r="AJ135" s="157">
        <v>0</v>
      </c>
      <c r="AK135" s="157">
        <v>0</v>
      </c>
      <c r="AL135" s="157">
        <v>0</v>
      </c>
      <c r="AM135" s="157">
        <v>0</v>
      </c>
      <c r="AN135" s="156">
        <v>0</v>
      </c>
      <c r="AO135" s="157"/>
      <c r="AP135" s="147">
        <f t="shared" si="20"/>
        <v>14597</v>
      </c>
      <c r="AQ135" s="16"/>
      <c r="AR135" s="16"/>
      <c r="AS135" s="16"/>
      <c r="AT135" s="16"/>
      <c r="AU135" s="157"/>
    </row>
    <row r="136" spans="1:47" ht="11.25" customHeight="1" collapsed="1">
      <c r="A136" s="169" t="s">
        <v>328</v>
      </c>
      <c r="B136" s="156">
        <f>SUM(B127:B135)</f>
        <v>1155153</v>
      </c>
      <c r="C136" s="156">
        <f aca="true" t="shared" si="21" ref="C136:AN136">SUM(C127:C135)</f>
        <v>254204</v>
      </c>
      <c r="D136" s="156">
        <f t="shared" si="21"/>
        <v>85198</v>
      </c>
      <c r="E136" s="156">
        <f t="shared" si="21"/>
        <v>1104425</v>
      </c>
      <c r="F136" s="156">
        <f t="shared" si="21"/>
        <v>179755.859</v>
      </c>
      <c r="G136" s="156">
        <f t="shared" si="21"/>
        <v>551701.5</v>
      </c>
      <c r="H136" s="156">
        <f t="shared" si="21"/>
        <v>90407</v>
      </c>
      <c r="I136" s="156">
        <f t="shared" si="21"/>
        <v>7662</v>
      </c>
      <c r="J136" s="156">
        <f t="shared" si="21"/>
        <v>7752</v>
      </c>
      <c r="K136" s="156">
        <f t="shared" si="21"/>
        <v>101062</v>
      </c>
      <c r="L136" s="156">
        <f t="shared" si="21"/>
        <v>721309</v>
      </c>
      <c r="M136" s="156">
        <f>SUM(M127:M135)</f>
        <v>408362</v>
      </c>
      <c r="N136" s="156">
        <f>SUM(N127:N135)</f>
        <v>1205249</v>
      </c>
      <c r="O136" s="156">
        <f>SUM(O127:O135)</f>
        <v>16230360</v>
      </c>
      <c r="P136" s="156">
        <f>SUM(P127:P135)</f>
        <v>925536.5</v>
      </c>
      <c r="Q136" s="156">
        <f>SUM(Q127:Q135)</f>
        <v>592086</v>
      </c>
      <c r="R136" s="156">
        <f t="shared" si="21"/>
        <v>50446</v>
      </c>
      <c r="S136" s="156">
        <f t="shared" si="21"/>
        <v>3187783.883</v>
      </c>
      <c r="T136" s="156">
        <f t="shared" si="21"/>
        <v>7415059.83225</v>
      </c>
      <c r="U136" s="156">
        <f t="shared" si="21"/>
        <v>841376.84025</v>
      </c>
      <c r="V136" s="156">
        <f t="shared" si="21"/>
        <v>349730.16</v>
      </c>
      <c r="W136" s="156">
        <f t="shared" si="21"/>
        <v>54410</v>
      </c>
      <c r="X136" s="156">
        <f t="shared" si="21"/>
        <v>286397</v>
      </c>
      <c r="Y136" s="156">
        <f t="shared" si="21"/>
        <v>743342</v>
      </c>
      <c r="Z136" s="156">
        <f t="shared" si="21"/>
        <v>43549</v>
      </c>
      <c r="AA136" s="156">
        <f t="shared" si="21"/>
        <v>53810.200000000004</v>
      </c>
      <c r="AB136" s="156">
        <f t="shared" si="21"/>
        <v>254316.445</v>
      </c>
      <c r="AC136" s="156">
        <f t="shared" si="21"/>
        <v>23445</v>
      </c>
      <c r="AD136" s="156">
        <f t="shared" si="21"/>
        <v>59429</v>
      </c>
      <c r="AE136" s="156">
        <f>SUM(AE127:AE135)</f>
        <v>252375.53699999998</v>
      </c>
      <c r="AF136" s="156">
        <f>SUM(AF127:AF135)</f>
        <v>22422.992000000002</v>
      </c>
      <c r="AG136" s="156">
        <f>SUM(AG127:AG135)</f>
        <v>10007.359</v>
      </c>
      <c r="AH136" s="156">
        <f t="shared" si="21"/>
        <v>23519</v>
      </c>
      <c r="AI136" s="156">
        <f>SUM(AI127:AI135)</f>
        <v>2566642.325</v>
      </c>
      <c r="AJ136" s="156">
        <f>SUM(AJ127:AJ135)</f>
        <v>2468939.0670000003</v>
      </c>
      <c r="AK136" s="156">
        <f>SUM(AK127:AK135)</f>
        <v>632856.916</v>
      </c>
      <c r="AL136" s="156">
        <f>SUM(AL127:AL135)</f>
        <v>163039.742</v>
      </c>
      <c r="AM136" s="156">
        <f t="shared" si="21"/>
        <v>5621</v>
      </c>
      <c r="AN136" s="156">
        <f t="shared" si="21"/>
        <v>1568601</v>
      </c>
      <c r="AO136" s="16"/>
      <c r="AP136" s="147">
        <f t="shared" si="20"/>
        <v>44697343.157500006</v>
      </c>
      <c r="AQ136" s="16"/>
      <c r="AR136" s="16"/>
      <c r="AS136" s="16"/>
      <c r="AT136" s="16"/>
      <c r="AU136" s="157"/>
    </row>
    <row r="137" spans="1:47" ht="11.25" customHeight="1">
      <c r="A137" s="148"/>
      <c r="B137" s="156"/>
      <c r="C137" s="156"/>
      <c r="D137" s="156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8"/>
      <c r="T137" s="158"/>
      <c r="U137" s="158"/>
      <c r="V137" s="158"/>
      <c r="W137" s="159"/>
      <c r="X137" s="159"/>
      <c r="Y137" s="159"/>
      <c r="Z137" s="159"/>
      <c r="AA137" s="159"/>
      <c r="AE137" s="159"/>
      <c r="AF137" s="159"/>
      <c r="AG137" s="159"/>
      <c r="AH137" s="159"/>
      <c r="AM137" s="159"/>
      <c r="AN137" s="159"/>
      <c r="AQ137" s="16"/>
      <c r="AR137" s="16"/>
      <c r="AS137" s="16"/>
      <c r="AT137" s="16"/>
      <c r="AU137" s="157"/>
    </row>
    <row r="138" spans="1:47" ht="11.25" customHeight="1" hidden="1" outlineLevel="1">
      <c r="A138" s="169" t="s">
        <v>329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8"/>
      <c r="T138" s="158"/>
      <c r="U138" s="158"/>
      <c r="V138" s="158"/>
      <c r="W138" s="156"/>
      <c r="X138" s="156"/>
      <c r="Y138" s="156"/>
      <c r="Z138" s="156"/>
      <c r="AA138" s="156"/>
      <c r="AB138" s="157"/>
      <c r="AC138" s="157"/>
      <c r="AD138" s="157"/>
      <c r="AE138" s="156"/>
      <c r="AF138" s="156"/>
      <c r="AG138" s="156"/>
      <c r="AH138" s="156"/>
      <c r="AI138" s="157"/>
      <c r="AJ138" s="157"/>
      <c r="AK138" s="157"/>
      <c r="AL138" s="157"/>
      <c r="AM138" s="156"/>
      <c r="AN138" s="156"/>
      <c r="AO138" s="157"/>
      <c r="AQ138" s="16"/>
      <c r="AR138" s="16"/>
      <c r="AS138" s="16"/>
      <c r="AT138" s="16"/>
      <c r="AU138" s="157"/>
    </row>
    <row r="139" spans="1:47" ht="11.25" customHeight="1" hidden="1" outlineLevel="1">
      <c r="A139" s="148" t="s">
        <v>271</v>
      </c>
      <c r="B139" s="156">
        <v>10681</v>
      </c>
      <c r="C139" s="156">
        <v>3305</v>
      </c>
      <c r="D139" s="156">
        <v>12764</v>
      </c>
      <c r="E139" s="156">
        <v>19746</v>
      </c>
      <c r="F139" s="156">
        <v>1894.5</v>
      </c>
      <c r="G139" s="156">
        <v>6927.263</v>
      </c>
      <c r="H139" s="156">
        <v>598</v>
      </c>
      <c r="I139" s="156">
        <v>18</v>
      </c>
      <c r="J139" s="156">
        <v>0</v>
      </c>
      <c r="K139" s="156">
        <v>2381</v>
      </c>
      <c r="L139" s="156">
        <v>11804</v>
      </c>
      <c r="M139" s="156">
        <v>8814</v>
      </c>
      <c r="N139" s="156">
        <v>586</v>
      </c>
      <c r="O139" s="156">
        <v>146766</v>
      </c>
      <c r="P139" s="156">
        <v>25208</v>
      </c>
      <c r="Q139" s="156">
        <v>161749</v>
      </c>
      <c r="R139" s="156">
        <v>636</v>
      </c>
      <c r="S139" s="156">
        <v>5091.641</v>
      </c>
      <c r="T139" s="156">
        <v>100107.231</v>
      </c>
      <c r="U139" s="156">
        <v>49773.807</v>
      </c>
      <c r="V139" s="156">
        <v>46495.146</v>
      </c>
      <c r="W139" s="156">
        <v>0</v>
      </c>
      <c r="X139" s="156">
        <v>0</v>
      </c>
      <c r="Y139" s="156">
        <v>34337</v>
      </c>
      <c r="Z139" s="156">
        <v>68</v>
      </c>
      <c r="AA139" s="156">
        <v>0</v>
      </c>
      <c r="AB139" s="157">
        <v>190</v>
      </c>
      <c r="AC139" s="157">
        <v>175</v>
      </c>
      <c r="AD139" s="157">
        <v>0</v>
      </c>
      <c r="AE139" s="156">
        <v>140.727</v>
      </c>
      <c r="AF139" s="156">
        <v>1289.891</v>
      </c>
      <c r="AG139" s="156">
        <v>4010.168</v>
      </c>
      <c r="AH139" s="156">
        <v>0</v>
      </c>
      <c r="AI139" s="157">
        <v>5350.671</v>
      </c>
      <c r="AJ139" s="157">
        <v>19032.569</v>
      </c>
      <c r="AK139" s="157">
        <v>69191.704</v>
      </c>
      <c r="AL139" s="157">
        <v>3351.03</v>
      </c>
      <c r="AM139" s="156">
        <v>0</v>
      </c>
      <c r="AN139" s="156">
        <v>37152</v>
      </c>
      <c r="AO139" s="157"/>
      <c r="AP139" s="147">
        <f t="shared" si="20"/>
        <v>789634.3479999999</v>
      </c>
      <c r="AQ139" s="16"/>
      <c r="AR139" s="16"/>
      <c r="AS139" s="16"/>
      <c r="AT139" s="16"/>
      <c r="AU139" s="157"/>
    </row>
    <row r="140" spans="1:47" ht="11.25" customHeight="1" hidden="1" outlineLevel="1">
      <c r="A140" s="148" t="s">
        <v>330</v>
      </c>
      <c r="B140" s="156">
        <v>1053</v>
      </c>
      <c r="C140" s="156">
        <v>257</v>
      </c>
      <c r="D140" s="156">
        <v>24</v>
      </c>
      <c r="E140" s="156">
        <v>1021</v>
      </c>
      <c r="F140" s="156">
        <v>77.415</v>
      </c>
      <c r="G140" s="156">
        <v>95.527</v>
      </c>
      <c r="H140" s="156">
        <v>-152</v>
      </c>
      <c r="I140" s="156">
        <v>-5</v>
      </c>
      <c r="J140" s="156">
        <v>639</v>
      </c>
      <c r="K140" s="156">
        <v>255</v>
      </c>
      <c r="L140" s="156">
        <v>1635</v>
      </c>
      <c r="M140" s="156">
        <v>398</v>
      </c>
      <c r="N140" s="156">
        <v>1164</v>
      </c>
      <c r="O140" s="156">
        <v>95459</v>
      </c>
      <c r="P140" s="156">
        <v>5716</v>
      </c>
      <c r="Q140" s="156">
        <v>0</v>
      </c>
      <c r="R140" s="156">
        <v>0</v>
      </c>
      <c r="S140" s="16">
        <v>57.976312</v>
      </c>
      <c r="T140" s="16">
        <v>6670.049214</v>
      </c>
      <c r="U140" s="16">
        <v>13.25009</v>
      </c>
      <c r="V140" s="16">
        <v>6.885</v>
      </c>
      <c r="W140" s="156">
        <v>164</v>
      </c>
      <c r="X140" s="156">
        <v>454</v>
      </c>
      <c r="Y140" s="156">
        <v>2392</v>
      </c>
      <c r="Z140" s="156">
        <v>5</v>
      </c>
      <c r="AA140" s="156">
        <v>213.238</v>
      </c>
      <c r="AB140" s="16">
        <v>0</v>
      </c>
      <c r="AC140" s="157">
        <v>114</v>
      </c>
      <c r="AD140" s="157">
        <v>313</v>
      </c>
      <c r="AE140" s="156">
        <v>-308.222</v>
      </c>
      <c r="AF140" s="156">
        <v>-5.39</v>
      </c>
      <c r="AG140" s="156">
        <v>0</v>
      </c>
      <c r="AH140" s="156">
        <v>0</v>
      </c>
      <c r="AI140" s="157">
        <v>6986.939</v>
      </c>
      <c r="AJ140" s="157">
        <v>9487.077</v>
      </c>
      <c r="AK140" s="157">
        <v>2203.662</v>
      </c>
      <c r="AL140" s="157">
        <v>0</v>
      </c>
      <c r="AM140" s="156">
        <v>162</v>
      </c>
      <c r="AN140" s="156">
        <v>5</v>
      </c>
      <c r="AO140" s="157"/>
      <c r="AP140" s="147">
        <f t="shared" si="20"/>
        <v>136571.406616</v>
      </c>
      <c r="AQ140" s="16"/>
      <c r="AR140" s="16"/>
      <c r="AS140" s="16"/>
      <c r="AT140" s="16"/>
      <c r="AU140" s="157"/>
    </row>
    <row r="141" spans="1:47" ht="11.25" customHeight="1" hidden="1" outlineLevel="1">
      <c r="A141" s="148" t="s">
        <v>331</v>
      </c>
      <c r="B141" s="156">
        <v>2785</v>
      </c>
      <c r="C141" s="156">
        <v>672</v>
      </c>
      <c r="D141" s="156">
        <v>352</v>
      </c>
      <c r="E141" s="156">
        <v>1016</v>
      </c>
      <c r="F141" s="156">
        <v>2399.85</v>
      </c>
      <c r="G141" s="156">
        <v>5350.372</v>
      </c>
      <c r="H141" s="156">
        <v>451</v>
      </c>
      <c r="I141" s="156">
        <v>31</v>
      </c>
      <c r="J141" s="156">
        <v>-482</v>
      </c>
      <c r="K141" s="156">
        <v>248</v>
      </c>
      <c r="L141" s="156">
        <v>1587</v>
      </c>
      <c r="M141" s="156">
        <v>793</v>
      </c>
      <c r="N141" s="156">
        <v>2378</v>
      </c>
      <c r="O141" s="156">
        <v>45157</v>
      </c>
      <c r="P141" s="156">
        <v>2736</v>
      </c>
      <c r="Q141" s="156">
        <v>0</v>
      </c>
      <c r="R141" s="156">
        <v>0</v>
      </c>
      <c r="S141" s="16">
        <v>13860.96999688</v>
      </c>
      <c r="T141" s="16">
        <v>51671.93198786</v>
      </c>
      <c r="U141" s="16">
        <v>3949.6579991</v>
      </c>
      <c r="V141" s="16">
        <v>1809.832</v>
      </c>
      <c r="W141" s="156">
        <v>170</v>
      </c>
      <c r="X141" s="156">
        <v>469</v>
      </c>
      <c r="Y141" s="156">
        <v>4982</v>
      </c>
      <c r="Z141" s="156">
        <v>0</v>
      </c>
      <c r="AA141" s="156">
        <v>338.382</v>
      </c>
      <c r="AB141" s="157">
        <v>1660</v>
      </c>
      <c r="AC141" s="157">
        <v>38</v>
      </c>
      <c r="AD141" s="157">
        <v>104</v>
      </c>
      <c r="AE141" s="156">
        <v>103.734</v>
      </c>
      <c r="AF141" s="156">
        <v>13.152</v>
      </c>
      <c r="AG141" s="156">
        <v>0</v>
      </c>
      <c r="AH141" s="156">
        <v>250</v>
      </c>
      <c r="AI141" s="157">
        <v>13960.359</v>
      </c>
      <c r="AJ141" s="157">
        <v>19022.996</v>
      </c>
      <c r="AK141" s="157">
        <v>4480.027</v>
      </c>
      <c r="AL141" s="157">
        <v>0</v>
      </c>
      <c r="AM141" s="157">
        <v>0</v>
      </c>
      <c r="AN141" s="156">
        <v>3916</v>
      </c>
      <c r="AO141" s="157"/>
      <c r="AP141" s="147">
        <f t="shared" si="20"/>
        <v>186274.26398384</v>
      </c>
      <c r="AQ141" s="16"/>
      <c r="AR141" s="16"/>
      <c r="AS141" s="16"/>
      <c r="AT141" s="16"/>
      <c r="AU141" s="157"/>
    </row>
    <row r="142" spans="1:47" ht="11.25" customHeight="1" hidden="1" outlineLevel="1">
      <c r="A142" s="148" t="s">
        <v>332</v>
      </c>
      <c r="B142" s="156">
        <v>0</v>
      </c>
      <c r="C142" s="156">
        <v>0</v>
      </c>
      <c r="D142" s="156">
        <v>0</v>
      </c>
      <c r="E142" s="156">
        <v>0</v>
      </c>
      <c r="F142" s="156">
        <v>0</v>
      </c>
      <c r="G142" s="156">
        <v>0</v>
      </c>
      <c r="H142" s="156">
        <v>0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8">
        <v>0</v>
      </c>
      <c r="P142" s="158">
        <v>0</v>
      </c>
      <c r="Q142" s="158">
        <v>0</v>
      </c>
      <c r="R142" s="156">
        <v>0</v>
      </c>
      <c r="S142" s="158">
        <v>0</v>
      </c>
      <c r="T142" s="158">
        <v>0</v>
      </c>
      <c r="U142" s="158">
        <v>0</v>
      </c>
      <c r="V142" s="158">
        <v>0</v>
      </c>
      <c r="W142" s="158">
        <v>0</v>
      </c>
      <c r="X142" s="158">
        <v>0</v>
      </c>
      <c r="Y142" s="156">
        <v>0</v>
      </c>
      <c r="Z142" s="156">
        <v>0</v>
      </c>
      <c r="AA142" s="156">
        <v>0</v>
      </c>
      <c r="AB142" s="156">
        <v>0</v>
      </c>
      <c r="AC142" s="156">
        <v>0</v>
      </c>
      <c r="AD142" s="156">
        <v>0</v>
      </c>
      <c r="AE142" s="156">
        <v>0</v>
      </c>
      <c r="AF142" s="156">
        <v>0</v>
      </c>
      <c r="AG142" s="156">
        <v>0</v>
      </c>
      <c r="AH142" s="156">
        <v>0</v>
      </c>
      <c r="AI142" s="157">
        <v>0</v>
      </c>
      <c r="AJ142" s="157">
        <v>0</v>
      </c>
      <c r="AK142" s="157">
        <v>0</v>
      </c>
      <c r="AL142" s="157">
        <v>0</v>
      </c>
      <c r="AM142" s="157">
        <v>0</v>
      </c>
      <c r="AN142" s="157">
        <v>0</v>
      </c>
      <c r="AO142" s="157"/>
      <c r="AP142" s="147">
        <f t="shared" si="20"/>
        <v>0</v>
      </c>
      <c r="AQ142" s="16"/>
      <c r="AR142" s="16"/>
      <c r="AS142" s="16"/>
      <c r="AT142" s="16"/>
      <c r="AU142" s="157"/>
    </row>
    <row r="143" spans="1:47" ht="11.25" customHeight="1" hidden="1" outlineLevel="1">
      <c r="A143" s="148" t="s">
        <v>333</v>
      </c>
      <c r="B143" s="156">
        <v>0</v>
      </c>
      <c r="C143" s="156">
        <v>0</v>
      </c>
      <c r="D143" s="156">
        <v>0</v>
      </c>
      <c r="E143" s="156">
        <v>0</v>
      </c>
      <c r="F143" s="156">
        <v>37.411</v>
      </c>
      <c r="G143" s="156">
        <v>-435.65</v>
      </c>
      <c r="H143" s="156">
        <v>385</v>
      </c>
      <c r="I143" s="156">
        <v>16</v>
      </c>
      <c r="J143" s="156">
        <v>11</v>
      </c>
      <c r="K143" s="156">
        <v>0</v>
      </c>
      <c r="L143" s="156">
        <v>0</v>
      </c>
      <c r="M143" s="156">
        <v>0</v>
      </c>
      <c r="N143" s="156">
        <v>0</v>
      </c>
      <c r="O143" s="156">
        <v>-27621</v>
      </c>
      <c r="P143" s="156">
        <v>31787.4</v>
      </c>
      <c r="Q143" s="156">
        <v>1042</v>
      </c>
      <c r="R143" s="156">
        <v>0</v>
      </c>
      <c r="S143" s="16">
        <v>3423.44</v>
      </c>
      <c r="T143" s="16">
        <v>11171.944</v>
      </c>
      <c r="U143" s="16">
        <v>316.492</v>
      </c>
      <c r="V143" s="16">
        <v>47.98199999999997</v>
      </c>
      <c r="W143" s="156">
        <v>3804</v>
      </c>
      <c r="X143" s="156">
        <v>0</v>
      </c>
      <c r="Y143" s="156">
        <v>0</v>
      </c>
      <c r="Z143" s="156">
        <v>70</v>
      </c>
      <c r="AA143" s="156">
        <v>0</v>
      </c>
      <c r="AB143" s="157">
        <v>34087</v>
      </c>
      <c r="AC143" s="156">
        <v>0</v>
      </c>
      <c r="AD143" s="156">
        <v>0</v>
      </c>
      <c r="AE143" s="156">
        <v>-138.29899999999998</v>
      </c>
      <c r="AF143" s="156">
        <v>14.499000000000002</v>
      </c>
      <c r="AG143" s="156">
        <v>-467.909</v>
      </c>
      <c r="AH143" s="156">
        <v>2878</v>
      </c>
      <c r="AI143" s="157">
        <v>0</v>
      </c>
      <c r="AJ143" s="157">
        <v>0</v>
      </c>
      <c r="AK143" s="157">
        <v>0</v>
      </c>
      <c r="AL143" s="157">
        <v>0</v>
      </c>
      <c r="AM143" s="157">
        <v>0</v>
      </c>
      <c r="AN143" s="157">
        <f>5147+112988</f>
        <v>118135</v>
      </c>
      <c r="AO143" s="157"/>
      <c r="AP143" s="147">
        <f t="shared" si="20"/>
        <v>178564.31</v>
      </c>
      <c r="AQ143" s="16"/>
      <c r="AR143" s="16"/>
      <c r="AS143" s="16"/>
      <c r="AT143" s="16"/>
      <c r="AU143" s="157"/>
    </row>
    <row r="144" spans="1:47" ht="11.25" customHeight="1" collapsed="1">
      <c r="A144" s="169" t="s">
        <v>334</v>
      </c>
      <c r="B144" s="156">
        <f>SUM(B139:B143)</f>
        <v>14519</v>
      </c>
      <c r="C144" s="156">
        <f aca="true" t="shared" si="22" ref="C144:AN144">SUM(C139:C143)</f>
        <v>4234</v>
      </c>
      <c r="D144" s="156">
        <f t="shared" si="22"/>
        <v>13140</v>
      </c>
      <c r="E144" s="156">
        <f t="shared" si="22"/>
        <v>21783</v>
      </c>
      <c r="F144" s="156">
        <f t="shared" si="22"/>
        <v>4409.1759999999995</v>
      </c>
      <c r="G144" s="156">
        <f t="shared" si="22"/>
        <v>11937.512</v>
      </c>
      <c r="H144" s="156">
        <f t="shared" si="22"/>
        <v>1282</v>
      </c>
      <c r="I144" s="156">
        <f t="shared" si="22"/>
        <v>60</v>
      </c>
      <c r="J144" s="156">
        <f t="shared" si="22"/>
        <v>168</v>
      </c>
      <c r="K144" s="156">
        <f t="shared" si="22"/>
        <v>2884</v>
      </c>
      <c r="L144" s="156">
        <f t="shared" si="22"/>
        <v>15026</v>
      </c>
      <c r="M144" s="156">
        <f t="shared" si="22"/>
        <v>10005</v>
      </c>
      <c r="N144" s="156">
        <f t="shared" si="22"/>
        <v>4128</v>
      </c>
      <c r="O144" s="156">
        <f>SUM(O139:O143)</f>
        <v>259761</v>
      </c>
      <c r="P144" s="156">
        <f>SUM(P139:P143)</f>
        <v>65447.4</v>
      </c>
      <c r="Q144" s="156">
        <f>SUM(Q139:Q143)</f>
        <v>162791</v>
      </c>
      <c r="R144" s="156">
        <f t="shared" si="22"/>
        <v>636</v>
      </c>
      <c r="S144" s="156">
        <f t="shared" si="22"/>
        <v>22434.02730888</v>
      </c>
      <c r="T144" s="156">
        <f t="shared" si="22"/>
        <v>169621.15620186</v>
      </c>
      <c r="U144" s="156">
        <f t="shared" si="22"/>
        <v>54053.207089100004</v>
      </c>
      <c r="V144" s="156">
        <f t="shared" si="22"/>
        <v>48359.845</v>
      </c>
      <c r="W144" s="156">
        <f t="shared" si="22"/>
        <v>4138</v>
      </c>
      <c r="X144" s="156">
        <f t="shared" si="22"/>
        <v>923</v>
      </c>
      <c r="Y144" s="156">
        <f t="shared" si="22"/>
        <v>41711</v>
      </c>
      <c r="Z144" s="156">
        <f t="shared" si="22"/>
        <v>143</v>
      </c>
      <c r="AA144" s="156">
        <f t="shared" si="22"/>
        <v>551.62</v>
      </c>
      <c r="AB144" s="156">
        <f t="shared" si="22"/>
        <v>35937</v>
      </c>
      <c r="AC144" s="156">
        <f t="shared" si="22"/>
        <v>327</v>
      </c>
      <c r="AD144" s="156">
        <f t="shared" si="22"/>
        <v>417</v>
      </c>
      <c r="AE144" s="156">
        <f>SUM(AE139:AE143)</f>
        <v>-202.05999999999995</v>
      </c>
      <c r="AF144" s="156">
        <f>SUM(AF139:AF143)</f>
        <v>1312.152</v>
      </c>
      <c r="AG144" s="156">
        <f>SUM(AG139:AG143)</f>
        <v>3542.259</v>
      </c>
      <c r="AH144" s="156">
        <f t="shared" si="22"/>
        <v>3128</v>
      </c>
      <c r="AI144" s="156">
        <f>SUM(AI139:AI143)</f>
        <v>26297.969</v>
      </c>
      <c r="AJ144" s="156">
        <f>SUM(AJ139:AJ143)</f>
        <v>47542.642</v>
      </c>
      <c r="AK144" s="156">
        <f>SUM(AK139:AK143)</f>
        <v>75875.393</v>
      </c>
      <c r="AL144" s="156">
        <f>SUM(AL139:AL143)</f>
        <v>3351.03</v>
      </c>
      <c r="AM144" s="156">
        <f t="shared" si="22"/>
        <v>162</v>
      </c>
      <c r="AN144" s="156">
        <f t="shared" si="22"/>
        <v>159208</v>
      </c>
      <c r="AO144" s="16"/>
      <c r="AP144" s="147">
        <f t="shared" si="20"/>
        <v>1291044.32859984</v>
      </c>
      <c r="AQ144" s="16"/>
      <c r="AR144" s="16"/>
      <c r="AS144" s="16"/>
      <c r="AT144" s="16"/>
      <c r="AU144" s="157"/>
    </row>
    <row r="145" spans="1:47" ht="11.25" customHeight="1">
      <c r="A145" s="1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Q145" s="16"/>
      <c r="AR145" s="16"/>
      <c r="AS145" s="16"/>
      <c r="AT145" s="16"/>
      <c r="AU145" s="157"/>
    </row>
    <row r="146" spans="1:47" ht="11.25" customHeight="1">
      <c r="A146" s="169" t="s">
        <v>335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Q146" s="16"/>
      <c r="AR146" s="16"/>
      <c r="AS146" s="16"/>
      <c r="AT146" s="16"/>
      <c r="AU146" s="157"/>
    </row>
    <row r="147" spans="1:47" ht="11.25" customHeight="1">
      <c r="A147" s="169" t="s">
        <v>336</v>
      </c>
      <c r="B147" s="156">
        <f>+B136-B144</f>
        <v>1140634</v>
      </c>
      <c r="C147" s="156">
        <f aca="true" t="shared" si="23" ref="C147:AN147">+C136-C144</f>
        <v>249970</v>
      </c>
      <c r="D147" s="156">
        <f t="shared" si="23"/>
        <v>72058</v>
      </c>
      <c r="E147" s="156">
        <f t="shared" si="23"/>
        <v>1082642</v>
      </c>
      <c r="F147" s="156">
        <f t="shared" si="23"/>
        <v>175346.683</v>
      </c>
      <c r="G147" s="156">
        <f t="shared" si="23"/>
        <v>539763.988</v>
      </c>
      <c r="H147" s="156">
        <f t="shared" si="23"/>
        <v>89125</v>
      </c>
      <c r="I147" s="156">
        <f t="shared" si="23"/>
        <v>7602</v>
      </c>
      <c r="J147" s="156">
        <f t="shared" si="23"/>
        <v>7584</v>
      </c>
      <c r="K147" s="156">
        <f t="shared" si="23"/>
        <v>98178</v>
      </c>
      <c r="L147" s="156">
        <f t="shared" si="23"/>
        <v>706283</v>
      </c>
      <c r="M147" s="156">
        <f t="shared" si="23"/>
        <v>398357</v>
      </c>
      <c r="N147" s="156">
        <f t="shared" si="23"/>
        <v>1201121</v>
      </c>
      <c r="O147" s="156">
        <f>+O136-O144</f>
        <v>15970599</v>
      </c>
      <c r="P147" s="156">
        <f>+P136-P144</f>
        <v>860089.1</v>
      </c>
      <c r="Q147" s="156">
        <f>+Q136-Q144</f>
        <v>429295</v>
      </c>
      <c r="R147" s="156">
        <f t="shared" si="23"/>
        <v>49810</v>
      </c>
      <c r="S147" s="156">
        <f t="shared" si="23"/>
        <v>3165349.85569112</v>
      </c>
      <c r="T147" s="156">
        <f t="shared" si="23"/>
        <v>7245438.67604814</v>
      </c>
      <c r="U147" s="156">
        <f t="shared" si="23"/>
        <v>787323.6331609</v>
      </c>
      <c r="V147" s="156">
        <f t="shared" si="23"/>
        <v>301370.31499999994</v>
      </c>
      <c r="W147" s="156">
        <f t="shared" si="23"/>
        <v>50272</v>
      </c>
      <c r="X147" s="156">
        <f t="shared" si="23"/>
        <v>285474</v>
      </c>
      <c r="Y147" s="156">
        <f t="shared" si="23"/>
        <v>701631</v>
      </c>
      <c r="Z147" s="156">
        <f t="shared" si="23"/>
        <v>43406</v>
      </c>
      <c r="AA147" s="156">
        <f t="shared" si="23"/>
        <v>53258.58</v>
      </c>
      <c r="AB147" s="156">
        <f t="shared" si="23"/>
        <v>218379.445</v>
      </c>
      <c r="AC147" s="156">
        <f t="shared" si="23"/>
        <v>23118</v>
      </c>
      <c r="AD147" s="156">
        <f t="shared" si="23"/>
        <v>59012</v>
      </c>
      <c r="AE147" s="156">
        <f>+AE136-AE144</f>
        <v>252577.59699999998</v>
      </c>
      <c r="AF147" s="156">
        <f>+AF136-AF144</f>
        <v>21110.840000000004</v>
      </c>
      <c r="AG147" s="156">
        <f>+AG136-AG144</f>
        <v>6465.1</v>
      </c>
      <c r="AH147" s="156">
        <f t="shared" si="23"/>
        <v>20391</v>
      </c>
      <c r="AI147" s="156">
        <f t="shared" si="23"/>
        <v>2540344.356</v>
      </c>
      <c r="AJ147" s="156">
        <f t="shared" si="23"/>
        <v>2421396.4250000003</v>
      </c>
      <c r="AK147" s="156">
        <f>+AK136-AK144</f>
        <v>556981.5229999999</v>
      </c>
      <c r="AL147" s="156">
        <f t="shared" si="23"/>
        <v>159688.712</v>
      </c>
      <c r="AM147" s="156">
        <f t="shared" si="23"/>
        <v>5459</v>
      </c>
      <c r="AN147" s="156">
        <f t="shared" si="23"/>
        <v>1409393</v>
      </c>
      <c r="AO147" s="16"/>
      <c r="AP147" s="147">
        <f t="shared" si="20"/>
        <v>43406298.82890016</v>
      </c>
      <c r="AQ147" s="16"/>
      <c r="AR147" s="16"/>
      <c r="AS147" s="16"/>
      <c r="AT147" s="16"/>
      <c r="AU147" s="157"/>
    </row>
    <row r="148" spans="1:47" ht="11.25" customHeight="1">
      <c r="A148" s="169"/>
      <c r="B148" s="156"/>
      <c r="C148" s="156"/>
      <c r="D148" s="156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8"/>
      <c r="T148" s="158"/>
      <c r="U148" s="158"/>
      <c r="V148" s="158"/>
      <c r="W148" s="159"/>
      <c r="X148" s="159"/>
      <c r="Y148" s="159"/>
      <c r="Z148" s="159"/>
      <c r="AA148" s="159"/>
      <c r="AE148" s="159"/>
      <c r="AF148" s="159"/>
      <c r="AG148" s="159"/>
      <c r="AH148" s="159"/>
      <c r="AM148" s="159"/>
      <c r="AN148" s="159"/>
      <c r="AQ148" s="16"/>
      <c r="AR148" s="16"/>
      <c r="AS148" s="16"/>
      <c r="AT148" s="16"/>
      <c r="AU148" s="157"/>
    </row>
    <row r="149" spans="1:47" ht="11.25" customHeight="1" hidden="1" outlineLevel="1">
      <c r="A149" s="169" t="s">
        <v>337</v>
      </c>
      <c r="B149" s="156"/>
      <c r="C149" s="156"/>
      <c r="D149" s="156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8"/>
      <c r="T149" s="158"/>
      <c r="U149" s="158"/>
      <c r="V149" s="158"/>
      <c r="W149" s="159"/>
      <c r="X149" s="159"/>
      <c r="Y149" s="159"/>
      <c r="Z149" s="159"/>
      <c r="AA149" s="159"/>
      <c r="AE149" s="159"/>
      <c r="AF149" s="159"/>
      <c r="AG149" s="159"/>
      <c r="AH149" s="159"/>
      <c r="AM149" s="159"/>
      <c r="AN149" s="159"/>
      <c r="AQ149" s="16"/>
      <c r="AR149" s="16"/>
      <c r="AS149" s="16"/>
      <c r="AT149" s="16"/>
      <c r="AU149" s="157"/>
    </row>
    <row r="150" spans="1:47" ht="11.25" customHeight="1" hidden="1" outlineLevel="1">
      <c r="A150" s="148" t="s">
        <v>338</v>
      </c>
      <c r="B150" s="156">
        <v>1020348</v>
      </c>
      <c r="C150" s="156">
        <v>198437</v>
      </c>
      <c r="D150" s="156">
        <v>0</v>
      </c>
      <c r="E150" s="156">
        <v>454156</v>
      </c>
      <c r="F150" s="156">
        <v>32699.487</v>
      </c>
      <c r="G150" s="156">
        <v>58353.2</v>
      </c>
      <c r="H150" s="156">
        <v>79874</v>
      </c>
      <c r="I150" s="156">
        <v>7453</v>
      </c>
      <c r="J150" s="156">
        <v>0</v>
      </c>
      <c r="K150" s="156">
        <v>92309</v>
      </c>
      <c r="L150" s="156">
        <v>0</v>
      </c>
      <c r="M150" s="156">
        <v>88259</v>
      </c>
      <c r="N150" s="156">
        <v>542164</v>
      </c>
      <c r="O150" s="156">
        <v>7875301</v>
      </c>
      <c r="P150" s="156">
        <v>413094</v>
      </c>
      <c r="Q150" s="156">
        <v>0</v>
      </c>
      <c r="R150" s="156">
        <v>49810</v>
      </c>
      <c r="S150" s="16">
        <v>2625339.843</v>
      </c>
      <c r="T150" s="16">
        <v>6072992.89</v>
      </c>
      <c r="U150" s="16">
        <v>711392.903</v>
      </c>
      <c r="V150" s="16">
        <v>0</v>
      </c>
      <c r="W150" s="156">
        <v>44178</v>
      </c>
      <c r="X150" s="156">
        <v>0</v>
      </c>
      <c r="Y150" s="156">
        <v>281075</v>
      </c>
      <c r="Z150" s="156">
        <v>42954</v>
      </c>
      <c r="AA150" s="156">
        <v>32237</v>
      </c>
      <c r="AB150" s="147">
        <v>206558</v>
      </c>
      <c r="AC150" s="157">
        <v>3538</v>
      </c>
      <c r="AD150" s="157">
        <v>21473</v>
      </c>
      <c r="AE150" s="156">
        <v>191585.633</v>
      </c>
      <c r="AF150" s="156">
        <v>20655.611</v>
      </c>
      <c r="AG150" s="156">
        <v>0</v>
      </c>
      <c r="AH150" s="156">
        <v>6477</v>
      </c>
      <c r="AI150" s="157">
        <v>2381360.518</v>
      </c>
      <c r="AJ150" s="157">
        <v>2362223.637</v>
      </c>
      <c r="AK150" s="157">
        <v>530637.961</v>
      </c>
      <c r="AL150" s="157">
        <v>0</v>
      </c>
      <c r="AM150" s="156">
        <v>1411</v>
      </c>
      <c r="AN150" s="156">
        <v>1403386</v>
      </c>
      <c r="AO150" s="157"/>
      <c r="AP150" s="147">
        <f t="shared" si="20"/>
        <v>27851733.683000002</v>
      </c>
      <c r="AQ150" s="16"/>
      <c r="AR150" s="16"/>
      <c r="AS150" s="16"/>
      <c r="AT150" s="16"/>
      <c r="AU150" s="157"/>
    </row>
    <row r="151" spans="1:47" ht="11.25" customHeight="1" hidden="1" outlineLevel="1">
      <c r="A151" s="148" t="s">
        <v>339</v>
      </c>
      <c r="B151" s="156">
        <v>108674.4</v>
      </c>
      <c r="C151" s="156">
        <v>45000</v>
      </c>
      <c r="D151" s="156">
        <v>0</v>
      </c>
      <c r="E151" s="156">
        <v>426496</v>
      </c>
      <c r="F151" s="156">
        <v>131172.9</v>
      </c>
      <c r="G151" s="156">
        <v>461410.645</v>
      </c>
      <c r="H151" s="156">
        <v>6552</v>
      </c>
      <c r="I151" s="156">
        <v>0</v>
      </c>
      <c r="J151" s="156">
        <v>0</v>
      </c>
      <c r="K151" s="156">
        <v>6397</v>
      </c>
      <c r="L151" s="156">
        <v>467711</v>
      </c>
      <c r="M151" s="156">
        <v>310098</v>
      </c>
      <c r="N151" s="156">
        <v>658958</v>
      </c>
      <c r="O151" s="156">
        <v>8057171</v>
      </c>
      <c r="P151" s="156">
        <v>454738.4</v>
      </c>
      <c r="Q151" s="156">
        <v>0</v>
      </c>
      <c r="R151" s="156">
        <v>0</v>
      </c>
      <c r="S151" s="16">
        <v>544646</v>
      </c>
      <c r="T151" s="16">
        <v>1170405.695461</v>
      </c>
      <c r="U151" s="16">
        <v>76287</v>
      </c>
      <c r="V151" s="16">
        <v>0</v>
      </c>
      <c r="W151" s="156">
        <v>14279</v>
      </c>
      <c r="X151" s="156">
        <v>71393</v>
      </c>
      <c r="Y151" s="156">
        <v>391892</v>
      </c>
      <c r="Z151" s="156">
        <v>0</v>
      </c>
      <c r="AA151" s="156">
        <v>0</v>
      </c>
      <c r="AB151" s="157">
        <v>10037</v>
      </c>
      <c r="AC151" s="157">
        <v>19580</v>
      </c>
      <c r="AD151" s="157">
        <v>37539</v>
      </c>
      <c r="AE151" s="156">
        <v>61456.354</v>
      </c>
      <c r="AF151" s="156">
        <v>0</v>
      </c>
      <c r="AG151" s="156">
        <v>0</v>
      </c>
      <c r="AH151" s="156">
        <v>13639</v>
      </c>
      <c r="AI151" s="157">
        <v>142000</v>
      </c>
      <c r="AJ151" s="157">
        <v>70000</v>
      </c>
      <c r="AK151" s="157">
        <v>30148.835</v>
      </c>
      <c r="AL151" s="157">
        <v>0</v>
      </c>
      <c r="AM151" s="156">
        <v>3995</v>
      </c>
      <c r="AN151" s="156">
        <v>0</v>
      </c>
      <c r="AO151" s="157"/>
      <c r="AP151" s="147">
        <f t="shared" si="20"/>
        <v>13791677.229461001</v>
      </c>
      <c r="AQ151" s="16"/>
      <c r="AR151" s="16"/>
      <c r="AS151" s="16"/>
      <c r="AT151" s="16"/>
      <c r="AU151" s="157"/>
    </row>
    <row r="152" spans="1:47" ht="11.25" customHeight="1" hidden="1" outlineLevel="1">
      <c r="A152" s="148" t="s">
        <v>340</v>
      </c>
      <c r="B152" s="156">
        <v>0</v>
      </c>
      <c r="C152" s="156">
        <v>0</v>
      </c>
      <c r="D152" s="156">
        <v>70006.4</v>
      </c>
      <c r="E152" s="156">
        <v>160504</v>
      </c>
      <c r="F152" s="156">
        <v>0</v>
      </c>
      <c r="G152" s="156">
        <v>0</v>
      </c>
      <c r="H152" s="156">
        <v>0</v>
      </c>
      <c r="I152" s="156">
        <v>0</v>
      </c>
      <c r="J152" s="156">
        <v>0</v>
      </c>
      <c r="K152" s="156">
        <v>3946</v>
      </c>
      <c r="L152" s="156">
        <v>256811</v>
      </c>
      <c r="M152" s="156">
        <v>0</v>
      </c>
      <c r="N152" s="156">
        <v>0</v>
      </c>
      <c r="O152" s="16">
        <v>51062</v>
      </c>
      <c r="P152" s="16">
        <v>0</v>
      </c>
      <c r="Q152" s="156">
        <v>0</v>
      </c>
      <c r="R152" s="156">
        <v>0</v>
      </c>
      <c r="S152" s="16">
        <v>0</v>
      </c>
      <c r="T152" s="16">
        <v>0</v>
      </c>
      <c r="U152" s="16">
        <v>0</v>
      </c>
      <c r="V152" s="16">
        <v>0</v>
      </c>
      <c r="W152" s="156">
        <v>1553</v>
      </c>
      <c r="X152" s="156">
        <v>195963</v>
      </c>
      <c r="Y152" s="156">
        <v>11030</v>
      </c>
      <c r="Z152" s="156">
        <v>0</v>
      </c>
      <c r="AA152" s="156">
        <v>0</v>
      </c>
      <c r="AB152" s="156">
        <v>0</v>
      </c>
      <c r="AC152" s="156">
        <v>0</v>
      </c>
      <c r="AD152" s="156">
        <v>0</v>
      </c>
      <c r="AE152" s="156">
        <v>0</v>
      </c>
      <c r="AF152" s="156">
        <v>0</v>
      </c>
      <c r="AG152" s="156">
        <v>0</v>
      </c>
      <c r="AH152" s="156">
        <v>0</v>
      </c>
      <c r="AI152" s="157">
        <v>0</v>
      </c>
      <c r="AJ152" s="157">
        <v>0</v>
      </c>
      <c r="AK152" s="157">
        <v>0</v>
      </c>
      <c r="AL152" s="157">
        <v>0</v>
      </c>
      <c r="AM152" s="157">
        <v>0</v>
      </c>
      <c r="AN152" s="156">
        <v>7500</v>
      </c>
      <c r="AO152" s="157"/>
      <c r="AP152" s="147">
        <f t="shared" si="20"/>
        <v>758375.4</v>
      </c>
      <c r="AQ152" s="16"/>
      <c r="AR152" s="16"/>
      <c r="AS152" s="16"/>
      <c r="AT152" s="16"/>
      <c r="AU152" s="157"/>
    </row>
    <row r="153" spans="1:47" ht="11.25" customHeight="1" hidden="1" outlineLevel="1">
      <c r="A153" s="148" t="s">
        <v>341</v>
      </c>
      <c r="B153" s="156">
        <v>0</v>
      </c>
      <c r="C153" s="156">
        <v>0</v>
      </c>
      <c r="D153" s="156">
        <v>0</v>
      </c>
      <c r="E153" s="156">
        <v>0</v>
      </c>
      <c r="F153" s="156">
        <v>0</v>
      </c>
      <c r="G153" s="156">
        <v>0</v>
      </c>
      <c r="H153" s="156">
        <v>0</v>
      </c>
      <c r="I153" s="156">
        <v>0</v>
      </c>
      <c r="J153" s="156">
        <v>7237</v>
      </c>
      <c r="K153" s="156">
        <v>0</v>
      </c>
      <c r="L153" s="156">
        <v>0</v>
      </c>
      <c r="M153" s="156">
        <v>0</v>
      </c>
      <c r="N153" s="156">
        <v>0</v>
      </c>
      <c r="O153" s="16">
        <v>0</v>
      </c>
      <c r="P153" s="16">
        <v>0</v>
      </c>
      <c r="Q153" s="156">
        <v>870688.5</v>
      </c>
      <c r="R153" s="156">
        <v>0</v>
      </c>
      <c r="S153" s="158">
        <v>0</v>
      </c>
      <c r="T153" s="158">
        <v>0</v>
      </c>
      <c r="U153" s="158">
        <v>0</v>
      </c>
      <c r="V153" s="16">
        <v>301012.349</v>
      </c>
      <c r="W153" s="156">
        <v>0</v>
      </c>
      <c r="X153" s="156">
        <v>0</v>
      </c>
      <c r="Y153" s="156">
        <v>872</v>
      </c>
      <c r="Z153" s="156">
        <v>0</v>
      </c>
      <c r="AA153" s="156">
        <v>0</v>
      </c>
      <c r="AB153" s="147">
        <v>1784.5</v>
      </c>
      <c r="AC153" s="156">
        <v>0</v>
      </c>
      <c r="AD153" s="156">
        <v>0</v>
      </c>
      <c r="AE153" s="156">
        <v>0</v>
      </c>
      <c r="AF153" s="156">
        <v>0</v>
      </c>
      <c r="AG153" s="156">
        <v>31235.537</v>
      </c>
      <c r="AH153" s="156">
        <v>0</v>
      </c>
      <c r="AI153" s="157">
        <v>0</v>
      </c>
      <c r="AJ153" s="157">
        <v>0</v>
      </c>
      <c r="AK153" s="157">
        <v>0</v>
      </c>
      <c r="AL153" s="157">
        <v>159688.712</v>
      </c>
      <c r="AM153" s="157">
        <v>0</v>
      </c>
      <c r="AN153" s="157">
        <v>0</v>
      </c>
      <c r="AO153" s="157"/>
      <c r="AP153" s="147">
        <f t="shared" si="20"/>
        <v>1372518.598</v>
      </c>
      <c r="AQ153" s="16"/>
      <c r="AR153" s="16"/>
      <c r="AS153" s="16"/>
      <c r="AT153" s="16"/>
      <c r="AU153" s="157"/>
    </row>
    <row r="154" spans="1:47" ht="11.25" customHeight="1" hidden="1" outlineLevel="1">
      <c r="A154" s="148" t="s">
        <v>342</v>
      </c>
      <c r="B154" s="156">
        <v>0</v>
      </c>
      <c r="C154" s="156">
        <v>0</v>
      </c>
      <c r="D154" s="156">
        <v>0</v>
      </c>
      <c r="E154" s="156"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6">
        <v>0</v>
      </c>
      <c r="P154" s="16">
        <v>0</v>
      </c>
      <c r="Q154" s="16">
        <v>0</v>
      </c>
      <c r="R154" s="156">
        <v>0</v>
      </c>
      <c r="S154" s="158">
        <v>0</v>
      </c>
      <c r="T154" s="158">
        <v>0</v>
      </c>
      <c r="U154" s="158">
        <v>0</v>
      </c>
      <c r="V154" s="16">
        <v>0</v>
      </c>
      <c r="W154" s="156">
        <v>0</v>
      </c>
      <c r="X154" s="156">
        <v>0</v>
      </c>
      <c r="Y154" s="156">
        <v>36</v>
      </c>
      <c r="Z154" s="156">
        <v>0</v>
      </c>
      <c r="AA154" s="156">
        <v>0</v>
      </c>
      <c r="AB154" s="156">
        <v>0</v>
      </c>
      <c r="AC154" s="156">
        <v>0</v>
      </c>
      <c r="AD154" s="156">
        <v>0</v>
      </c>
      <c r="AE154" s="156">
        <v>0</v>
      </c>
      <c r="AF154" s="156">
        <v>0</v>
      </c>
      <c r="AG154" s="156">
        <v>0</v>
      </c>
      <c r="AH154" s="156">
        <v>0</v>
      </c>
      <c r="AI154" s="157">
        <v>0</v>
      </c>
      <c r="AJ154" s="157">
        <v>0</v>
      </c>
      <c r="AK154" s="157">
        <v>0</v>
      </c>
      <c r="AL154" s="157">
        <v>0</v>
      </c>
      <c r="AM154" s="157">
        <v>0</v>
      </c>
      <c r="AN154" s="157">
        <v>0</v>
      </c>
      <c r="AO154" s="157"/>
      <c r="AP154" s="147">
        <f t="shared" si="20"/>
        <v>36</v>
      </c>
      <c r="AQ154" s="16"/>
      <c r="AR154" s="16"/>
      <c r="AS154" s="16"/>
      <c r="AT154" s="16"/>
      <c r="AU154" s="157"/>
    </row>
    <row r="155" spans="1:47" ht="11.25" customHeight="1" hidden="1" outlineLevel="1">
      <c r="A155" s="148" t="s">
        <v>343</v>
      </c>
      <c r="B155" s="156">
        <v>0</v>
      </c>
      <c r="C155" s="156">
        <v>0</v>
      </c>
      <c r="D155" s="156">
        <v>0</v>
      </c>
      <c r="E155" s="156">
        <v>0</v>
      </c>
      <c r="F155" s="156">
        <v>0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0</v>
      </c>
      <c r="M155" s="156">
        <v>0</v>
      </c>
      <c r="N155" s="156">
        <v>-0.3</v>
      </c>
      <c r="O155" s="16">
        <v>0</v>
      </c>
      <c r="P155" s="16">
        <v>0</v>
      </c>
      <c r="Q155" s="16">
        <v>0</v>
      </c>
      <c r="R155" s="156">
        <v>0</v>
      </c>
      <c r="S155" s="158">
        <v>0</v>
      </c>
      <c r="T155" s="158">
        <v>0</v>
      </c>
      <c r="U155" s="158">
        <v>0</v>
      </c>
      <c r="V155" s="158">
        <v>0</v>
      </c>
      <c r="W155" s="16">
        <v>0</v>
      </c>
      <c r="X155" s="16">
        <v>0</v>
      </c>
      <c r="Y155" s="156">
        <v>0</v>
      </c>
      <c r="Z155" s="156">
        <v>0</v>
      </c>
      <c r="AA155" s="156">
        <v>0</v>
      </c>
      <c r="AB155" s="156">
        <v>0</v>
      </c>
      <c r="AC155" s="156">
        <v>0</v>
      </c>
      <c r="AD155" s="156">
        <v>0</v>
      </c>
      <c r="AE155" s="156">
        <v>0</v>
      </c>
      <c r="AF155" s="156">
        <v>0</v>
      </c>
      <c r="AG155" s="156">
        <v>0</v>
      </c>
      <c r="AH155" s="156">
        <v>0</v>
      </c>
      <c r="AI155" s="157">
        <v>0</v>
      </c>
      <c r="AJ155" s="157">
        <v>0</v>
      </c>
      <c r="AK155" s="157">
        <v>0</v>
      </c>
      <c r="AL155" s="157">
        <v>0</v>
      </c>
      <c r="AM155" s="157">
        <v>0</v>
      </c>
      <c r="AN155" s="157">
        <v>0</v>
      </c>
      <c r="AO155" s="157"/>
      <c r="AP155" s="147">
        <f t="shared" si="20"/>
        <v>-0.3</v>
      </c>
      <c r="AQ155" s="16"/>
      <c r="AR155" s="16"/>
      <c r="AS155" s="16"/>
      <c r="AT155" s="16"/>
      <c r="AU155" s="157"/>
    </row>
    <row r="156" spans="1:47" ht="11.25" customHeight="1" hidden="1" outlineLevel="1">
      <c r="A156" s="148" t="s">
        <v>344</v>
      </c>
      <c r="B156" s="156">
        <v>0</v>
      </c>
      <c r="C156" s="156">
        <v>0</v>
      </c>
      <c r="D156" s="156">
        <v>0</v>
      </c>
      <c r="E156" s="156">
        <v>0</v>
      </c>
      <c r="F156" s="156">
        <v>0</v>
      </c>
      <c r="G156" s="156">
        <v>0</v>
      </c>
      <c r="H156" s="156">
        <v>0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-0.3</v>
      </c>
      <c r="O156" s="16">
        <v>0</v>
      </c>
      <c r="P156" s="16">
        <v>0</v>
      </c>
      <c r="Q156" s="16">
        <v>0</v>
      </c>
      <c r="R156" s="156">
        <v>0</v>
      </c>
      <c r="S156" s="158">
        <v>0</v>
      </c>
      <c r="T156" s="158">
        <v>0</v>
      </c>
      <c r="U156" s="158">
        <v>0</v>
      </c>
      <c r="V156" s="158">
        <v>0</v>
      </c>
      <c r="W156" s="16">
        <v>0</v>
      </c>
      <c r="X156" s="16">
        <v>0</v>
      </c>
      <c r="Y156" s="156">
        <v>0</v>
      </c>
      <c r="Z156" s="156">
        <v>0</v>
      </c>
      <c r="AA156" s="156">
        <v>0</v>
      </c>
      <c r="AB156" s="156">
        <v>0</v>
      </c>
      <c r="AC156" s="156">
        <v>0</v>
      </c>
      <c r="AD156" s="156">
        <v>0</v>
      </c>
      <c r="AE156" s="156">
        <v>0</v>
      </c>
      <c r="AF156" s="156">
        <v>0</v>
      </c>
      <c r="AG156" s="156">
        <v>0</v>
      </c>
      <c r="AH156" s="156">
        <v>0</v>
      </c>
      <c r="AI156" s="157">
        <v>0</v>
      </c>
      <c r="AJ156" s="157">
        <v>0</v>
      </c>
      <c r="AK156" s="157">
        <v>0</v>
      </c>
      <c r="AL156" s="157">
        <v>0</v>
      </c>
      <c r="AM156" s="157">
        <v>0</v>
      </c>
      <c r="AN156" s="157">
        <v>0</v>
      </c>
      <c r="AO156" s="157"/>
      <c r="AP156" s="147">
        <f t="shared" si="20"/>
        <v>-0.3</v>
      </c>
      <c r="AQ156" s="16"/>
      <c r="AR156" s="16"/>
      <c r="AS156" s="16"/>
      <c r="AT156" s="16"/>
      <c r="AU156" s="157"/>
    </row>
    <row r="157" spans="1:47" ht="11.25" customHeight="1" collapsed="1">
      <c r="A157" s="169" t="s">
        <v>345</v>
      </c>
      <c r="B157" s="156">
        <f>SUM(B150:B156)</f>
        <v>1129022.4</v>
      </c>
      <c r="C157" s="156">
        <f aca="true" t="shared" si="24" ref="C157:AN157">SUM(C150:C156)</f>
        <v>243437</v>
      </c>
      <c r="D157" s="156">
        <f t="shared" si="24"/>
        <v>70006.4</v>
      </c>
      <c r="E157" s="156">
        <f t="shared" si="24"/>
        <v>1041156</v>
      </c>
      <c r="F157" s="156">
        <f t="shared" si="24"/>
        <v>163872.387</v>
      </c>
      <c r="G157" s="156">
        <f t="shared" si="24"/>
        <v>519763.84500000003</v>
      </c>
      <c r="H157" s="156">
        <f t="shared" si="24"/>
        <v>86426</v>
      </c>
      <c r="I157" s="156">
        <f t="shared" si="24"/>
        <v>7453</v>
      </c>
      <c r="J157" s="156">
        <f t="shared" si="24"/>
        <v>7237</v>
      </c>
      <c r="K157" s="156">
        <f t="shared" si="24"/>
        <v>102652</v>
      </c>
      <c r="L157" s="156">
        <f t="shared" si="24"/>
        <v>724522</v>
      </c>
      <c r="M157" s="156">
        <f t="shared" si="24"/>
        <v>398357</v>
      </c>
      <c r="N157" s="156">
        <f t="shared" si="24"/>
        <v>1201121.4</v>
      </c>
      <c r="O157" s="156">
        <f>SUM(O150:O156)</f>
        <v>15983534</v>
      </c>
      <c r="P157" s="156">
        <f>SUM(P150:P156)</f>
        <v>867832.4</v>
      </c>
      <c r="Q157" s="156">
        <f>SUM(Q150:Q156)</f>
        <v>870688.5</v>
      </c>
      <c r="R157" s="156">
        <f t="shared" si="24"/>
        <v>49810</v>
      </c>
      <c r="S157" s="156">
        <f t="shared" si="24"/>
        <v>3169985.843</v>
      </c>
      <c r="T157" s="156">
        <f t="shared" si="24"/>
        <v>7243398.585461</v>
      </c>
      <c r="U157" s="156">
        <f t="shared" si="24"/>
        <v>787679.903</v>
      </c>
      <c r="V157" s="156">
        <f t="shared" si="24"/>
        <v>301012.349</v>
      </c>
      <c r="W157" s="156">
        <f t="shared" si="24"/>
        <v>60010</v>
      </c>
      <c r="X157" s="156">
        <f t="shared" si="24"/>
        <v>267356</v>
      </c>
      <c r="Y157" s="156">
        <f t="shared" si="24"/>
        <v>684905</v>
      </c>
      <c r="Z157" s="156">
        <f t="shared" si="24"/>
        <v>42954</v>
      </c>
      <c r="AA157" s="156">
        <f t="shared" si="24"/>
        <v>32237</v>
      </c>
      <c r="AB157" s="156">
        <f t="shared" si="24"/>
        <v>218379.5</v>
      </c>
      <c r="AC157" s="156">
        <f t="shared" si="24"/>
        <v>23118</v>
      </c>
      <c r="AD157" s="156">
        <f t="shared" si="24"/>
        <v>59012</v>
      </c>
      <c r="AE157" s="156">
        <f>SUM(AE150:AE156)</f>
        <v>253041.987</v>
      </c>
      <c r="AF157" s="156">
        <f>SUM(AF150:AF156)</f>
        <v>20655.611</v>
      </c>
      <c r="AG157" s="156">
        <f>SUM(AG150:AG156)</f>
        <v>31235.537</v>
      </c>
      <c r="AH157" s="156">
        <f t="shared" si="24"/>
        <v>20116</v>
      </c>
      <c r="AI157" s="156">
        <f>SUM(AI150:AI156)</f>
        <v>2523360.518</v>
      </c>
      <c r="AJ157" s="156">
        <f>SUM(AJ150:AJ156)</f>
        <v>2432223.637</v>
      </c>
      <c r="AK157" s="156">
        <f>SUM(AK150:AK156)</f>
        <v>560786.796</v>
      </c>
      <c r="AL157" s="156">
        <f>SUM(AL150:AL156)</f>
        <v>159688.712</v>
      </c>
      <c r="AM157" s="156">
        <f t="shared" si="24"/>
        <v>5406</v>
      </c>
      <c r="AN157" s="156">
        <f t="shared" si="24"/>
        <v>1410886</v>
      </c>
      <c r="AO157" s="16"/>
      <c r="AP157" s="147">
        <f t="shared" si="20"/>
        <v>43774340.31046099</v>
      </c>
      <c r="AQ157" s="16"/>
      <c r="AR157" s="16"/>
      <c r="AS157" s="16"/>
      <c r="AT157" s="16"/>
      <c r="AU157" s="157"/>
    </row>
    <row r="158" spans="1:47" ht="11.25" customHeight="1">
      <c r="A158" s="148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Q158" s="16"/>
      <c r="AR158" s="16"/>
      <c r="AS158" s="16"/>
      <c r="AT158" s="16"/>
      <c r="AU158" s="157"/>
    </row>
    <row r="159" spans="1:47" ht="11.25" customHeight="1">
      <c r="A159" s="169" t="s">
        <v>346</v>
      </c>
      <c r="B159" s="156">
        <f>+B147-B157</f>
        <v>11611.600000000093</v>
      </c>
      <c r="C159" s="156">
        <f aca="true" t="shared" si="25" ref="C159:AN159">+C147-C157</f>
        <v>6533</v>
      </c>
      <c r="D159" s="156">
        <f t="shared" si="25"/>
        <v>2051.600000000006</v>
      </c>
      <c r="E159" s="156">
        <f t="shared" si="25"/>
        <v>41486</v>
      </c>
      <c r="F159" s="156">
        <f t="shared" si="25"/>
        <v>11474.296000000002</v>
      </c>
      <c r="G159" s="156">
        <f t="shared" si="25"/>
        <v>20000.142999999982</v>
      </c>
      <c r="H159" s="156">
        <f t="shared" si="25"/>
        <v>2699</v>
      </c>
      <c r="I159" s="156">
        <f t="shared" si="25"/>
        <v>149</v>
      </c>
      <c r="J159" s="156">
        <f t="shared" si="25"/>
        <v>347</v>
      </c>
      <c r="K159" s="156">
        <f t="shared" si="25"/>
        <v>-4474</v>
      </c>
      <c r="L159" s="156">
        <f t="shared" si="25"/>
        <v>-18239</v>
      </c>
      <c r="M159" s="156">
        <f t="shared" si="25"/>
        <v>0</v>
      </c>
      <c r="N159" s="156">
        <f t="shared" si="25"/>
        <v>-0.39999999990686774</v>
      </c>
      <c r="O159" s="156">
        <f>+O147-O157</f>
        <v>-12935</v>
      </c>
      <c r="P159" s="156">
        <f>+P147-P157</f>
        <v>-7743.300000000047</v>
      </c>
      <c r="Q159" s="156">
        <f>+Q147-Q157</f>
        <v>-441393.5</v>
      </c>
      <c r="R159" s="156">
        <f t="shared" si="25"/>
        <v>0</v>
      </c>
      <c r="S159" s="156">
        <f t="shared" si="25"/>
        <v>-4635.987308879849</v>
      </c>
      <c r="T159" s="156">
        <f t="shared" si="25"/>
        <v>2040.090587140061</v>
      </c>
      <c r="U159" s="156">
        <f t="shared" si="25"/>
        <v>-356.269839100074</v>
      </c>
      <c r="V159" s="156">
        <f t="shared" si="25"/>
        <v>357.9659999999567</v>
      </c>
      <c r="W159" s="156">
        <f t="shared" si="25"/>
        <v>-9738</v>
      </c>
      <c r="X159" s="156">
        <f t="shared" si="25"/>
        <v>18118</v>
      </c>
      <c r="Y159" s="156">
        <f t="shared" si="25"/>
        <v>16726</v>
      </c>
      <c r="Z159" s="156">
        <f t="shared" si="25"/>
        <v>452</v>
      </c>
      <c r="AA159" s="156">
        <f t="shared" si="25"/>
        <v>21021.58</v>
      </c>
      <c r="AB159" s="156">
        <f t="shared" si="25"/>
        <v>-0.05499999999301508</v>
      </c>
      <c r="AC159" s="156">
        <f t="shared" si="25"/>
        <v>0</v>
      </c>
      <c r="AD159" s="156">
        <f t="shared" si="25"/>
        <v>0</v>
      </c>
      <c r="AE159" s="156">
        <f>+AE147-AE157</f>
        <v>-464.39000000001397</v>
      </c>
      <c r="AF159" s="156">
        <f>+AF147-AF157</f>
        <v>455.229000000003</v>
      </c>
      <c r="AG159" s="156">
        <f>+AG147-AG157</f>
        <v>-24770.436999999998</v>
      </c>
      <c r="AH159" s="156">
        <f t="shared" si="25"/>
        <v>275</v>
      </c>
      <c r="AI159" s="156">
        <f>+AI147-AI157</f>
        <v>16983.83799999999</v>
      </c>
      <c r="AJ159" s="156">
        <f>+AJ147-AJ157</f>
        <v>-10827.211999999825</v>
      </c>
      <c r="AK159" s="156">
        <f>+AK147-AK157</f>
        <v>-3805.2730000000447</v>
      </c>
      <c r="AL159" s="156">
        <f>+AL147-AL157</f>
        <v>0</v>
      </c>
      <c r="AM159" s="156">
        <f t="shared" si="25"/>
        <v>53</v>
      </c>
      <c r="AN159" s="156">
        <f t="shared" si="25"/>
        <v>-1493</v>
      </c>
      <c r="AO159" s="16"/>
      <c r="AP159" s="147">
        <f t="shared" si="20"/>
        <v>-368041.48156083963</v>
      </c>
      <c r="AQ159" s="16"/>
      <c r="AR159" s="16"/>
      <c r="AS159" s="16"/>
      <c r="AT159" s="16"/>
      <c r="AU159" s="157"/>
    </row>
    <row r="160" spans="1:47" ht="11.25" customHeight="1">
      <c r="A160" s="169"/>
      <c r="B160" s="156"/>
      <c r="C160" s="156"/>
      <c r="D160" s="156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8"/>
      <c r="T160" s="158"/>
      <c r="U160" s="158"/>
      <c r="V160" s="158"/>
      <c r="W160" s="159"/>
      <c r="X160" s="159"/>
      <c r="Y160" s="159"/>
      <c r="Z160" s="159"/>
      <c r="AA160" s="159"/>
      <c r="AE160" s="159"/>
      <c r="AF160" s="159"/>
      <c r="AG160" s="159"/>
      <c r="AH160" s="159"/>
      <c r="AM160" s="159"/>
      <c r="AN160" s="159"/>
      <c r="AQ160" s="16"/>
      <c r="AR160" s="16"/>
      <c r="AS160" s="16"/>
      <c r="AT160" s="16"/>
      <c r="AU160" s="157"/>
    </row>
    <row r="161" spans="1:47" ht="11.25" customHeight="1">
      <c r="A161" s="169" t="s">
        <v>347</v>
      </c>
      <c r="B161" s="156">
        <v>23812.5</v>
      </c>
      <c r="C161" s="156">
        <v>8029</v>
      </c>
      <c r="D161" s="156">
        <v>1587.5</v>
      </c>
      <c r="E161" s="16">
        <v>45876</v>
      </c>
      <c r="F161" s="16">
        <v>791.939</v>
      </c>
      <c r="G161" s="16">
        <v>791</v>
      </c>
      <c r="H161" s="16">
        <v>1957</v>
      </c>
      <c r="I161" s="16">
        <v>202</v>
      </c>
      <c r="J161" s="16">
        <v>0</v>
      </c>
      <c r="K161" s="16">
        <v>6064</v>
      </c>
      <c r="L161" s="16">
        <v>27252</v>
      </c>
      <c r="M161" s="16">
        <v>0</v>
      </c>
      <c r="N161" s="16">
        <v>0</v>
      </c>
      <c r="O161" s="16">
        <v>217837</v>
      </c>
      <c r="P161" s="16">
        <v>16116.5</v>
      </c>
      <c r="Q161" s="16">
        <v>441393.4</v>
      </c>
      <c r="R161" s="16">
        <v>0</v>
      </c>
      <c r="S161" s="16">
        <v>32891.4</v>
      </c>
      <c r="T161" s="16">
        <v>49759</v>
      </c>
      <c r="U161" s="16">
        <v>5892</v>
      </c>
      <c r="V161" s="16">
        <v>3585</v>
      </c>
      <c r="W161" s="16">
        <v>9738</v>
      </c>
      <c r="X161" s="16">
        <v>26183</v>
      </c>
      <c r="Y161" s="16">
        <v>10079</v>
      </c>
      <c r="Z161" s="16">
        <v>165.5</v>
      </c>
      <c r="AA161" s="16">
        <v>43</v>
      </c>
      <c r="AB161" s="16">
        <v>0</v>
      </c>
      <c r="AC161" s="16">
        <v>0</v>
      </c>
      <c r="AD161" s="16">
        <v>0</v>
      </c>
      <c r="AE161" s="16">
        <v>4639.603</v>
      </c>
      <c r="AF161" s="16">
        <v>-119.364</v>
      </c>
      <c r="AG161" s="16">
        <v>24770.437</v>
      </c>
      <c r="AH161" s="16">
        <v>1249</v>
      </c>
      <c r="AI161" s="16">
        <v>23947.866</v>
      </c>
      <c r="AJ161" s="16">
        <v>11592.965</v>
      </c>
      <c r="AK161" s="16">
        <v>4175.595</v>
      </c>
      <c r="AL161" s="16">
        <v>0</v>
      </c>
      <c r="AM161" s="16">
        <v>205</v>
      </c>
      <c r="AN161" s="16">
        <v>6816</v>
      </c>
      <c r="AO161" s="16"/>
      <c r="AP161" s="147">
        <f t="shared" si="20"/>
        <v>1007322.8410000001</v>
      </c>
      <c r="AQ161" s="16"/>
      <c r="AR161" s="16"/>
      <c r="AS161" s="16"/>
      <c r="AT161" s="16"/>
      <c r="AU161" s="157"/>
    </row>
    <row r="162" spans="1:47" ht="11.25" customHeight="1">
      <c r="A162" s="148"/>
      <c r="B162" s="156"/>
      <c r="C162" s="156"/>
      <c r="D162" s="156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8"/>
      <c r="T162" s="158"/>
      <c r="U162" s="158"/>
      <c r="V162" s="158"/>
      <c r="W162" s="159"/>
      <c r="X162" s="159"/>
      <c r="Y162" s="159"/>
      <c r="Z162" s="159"/>
      <c r="AA162" s="159"/>
      <c r="AE162" s="159"/>
      <c r="AF162" s="159"/>
      <c r="AG162" s="159"/>
      <c r="AH162" s="159"/>
      <c r="AM162" s="159"/>
      <c r="AN162" s="159"/>
      <c r="AQ162" s="16"/>
      <c r="AR162" s="16"/>
      <c r="AS162" s="16"/>
      <c r="AT162" s="16"/>
      <c r="AU162" s="157"/>
    </row>
    <row r="163" spans="1:47" s="151" customFormat="1" ht="11.25" customHeight="1">
      <c r="A163" s="221" t="s">
        <v>348</v>
      </c>
      <c r="B163" s="173">
        <f>+B159+B161</f>
        <v>35424.10000000009</v>
      </c>
      <c r="C163" s="173">
        <f aca="true" t="shared" si="26" ref="C163:AN163">+C159+C161</f>
        <v>14562</v>
      </c>
      <c r="D163" s="173">
        <f t="shared" si="26"/>
        <v>3639.100000000006</v>
      </c>
      <c r="E163" s="173">
        <f t="shared" si="26"/>
        <v>87362</v>
      </c>
      <c r="F163" s="173">
        <f t="shared" si="26"/>
        <v>12266.235000000002</v>
      </c>
      <c r="G163" s="173">
        <f t="shared" si="26"/>
        <v>20791.142999999982</v>
      </c>
      <c r="H163" s="173">
        <f t="shared" si="26"/>
        <v>4656</v>
      </c>
      <c r="I163" s="173">
        <f t="shared" si="26"/>
        <v>351</v>
      </c>
      <c r="J163" s="173">
        <f t="shared" si="26"/>
        <v>347</v>
      </c>
      <c r="K163" s="173">
        <f t="shared" si="26"/>
        <v>1590</v>
      </c>
      <c r="L163" s="173">
        <f t="shared" si="26"/>
        <v>9013</v>
      </c>
      <c r="M163" s="173">
        <f t="shared" si="26"/>
        <v>0</v>
      </c>
      <c r="N163" s="173">
        <f t="shared" si="26"/>
        <v>-0.39999999990686774</v>
      </c>
      <c r="O163" s="173">
        <f>+O159+O161</f>
        <v>204902</v>
      </c>
      <c r="P163" s="173">
        <f>+P159+P161</f>
        <v>8373.199999999953</v>
      </c>
      <c r="Q163" s="173">
        <f>+Q159+Q161</f>
        <v>-0.09999999997671694</v>
      </c>
      <c r="R163" s="173">
        <f t="shared" si="26"/>
        <v>0</v>
      </c>
      <c r="S163" s="173">
        <f t="shared" si="26"/>
        <v>28255.412691120153</v>
      </c>
      <c r="T163" s="173">
        <f t="shared" si="26"/>
        <v>51799.09058714006</v>
      </c>
      <c r="U163" s="173">
        <f t="shared" si="26"/>
        <v>5535.730160899926</v>
      </c>
      <c r="V163" s="173">
        <f t="shared" si="26"/>
        <v>3942.9659999999567</v>
      </c>
      <c r="W163" s="173">
        <f t="shared" si="26"/>
        <v>0</v>
      </c>
      <c r="X163" s="173">
        <f t="shared" si="26"/>
        <v>44301</v>
      </c>
      <c r="Y163" s="173">
        <f t="shared" si="26"/>
        <v>26805</v>
      </c>
      <c r="Z163" s="173">
        <f t="shared" si="26"/>
        <v>617.5</v>
      </c>
      <c r="AA163" s="173">
        <f t="shared" si="26"/>
        <v>21064.58</v>
      </c>
      <c r="AB163" s="173">
        <f t="shared" si="26"/>
        <v>-0.05499999999301508</v>
      </c>
      <c r="AC163" s="173">
        <f t="shared" si="26"/>
        <v>0</v>
      </c>
      <c r="AD163" s="173">
        <f t="shared" si="26"/>
        <v>0</v>
      </c>
      <c r="AE163" s="173">
        <f>+AE159+AE161</f>
        <v>4175.212999999986</v>
      </c>
      <c r="AF163" s="173">
        <f>+AF159+AF161</f>
        <v>335.86500000000296</v>
      </c>
      <c r="AG163" s="173">
        <f>+AG159+AG161</f>
        <v>0</v>
      </c>
      <c r="AH163" s="173">
        <f t="shared" si="26"/>
        <v>1524</v>
      </c>
      <c r="AI163" s="173">
        <f>+AI159+AI161</f>
        <v>40931.70399999999</v>
      </c>
      <c r="AJ163" s="173">
        <f t="shared" si="26"/>
        <v>765.7530000001752</v>
      </c>
      <c r="AK163" s="173">
        <f>+AK159+AK161</f>
        <v>370.32199999995555</v>
      </c>
      <c r="AL163" s="173">
        <f t="shared" si="26"/>
        <v>0</v>
      </c>
      <c r="AM163" s="173">
        <f t="shared" si="26"/>
        <v>258</v>
      </c>
      <c r="AN163" s="173">
        <f t="shared" si="26"/>
        <v>5323</v>
      </c>
      <c r="AO163" s="149"/>
      <c r="AP163" s="151">
        <f t="shared" si="20"/>
        <v>639281.3594391602</v>
      </c>
      <c r="AQ163" s="149"/>
      <c r="AR163" s="149"/>
      <c r="AS163" s="149"/>
      <c r="AT163" s="149"/>
      <c r="AU163" s="173"/>
    </row>
    <row r="167" spans="1:42" s="278" customFormat="1" ht="11.25" customHeight="1" hidden="1">
      <c r="A167" s="278" t="s">
        <v>515</v>
      </c>
      <c r="B167" s="278">
        <f>+B66-B121</f>
        <v>0</v>
      </c>
      <c r="C167" s="278">
        <f aca="true" t="shared" si="27" ref="C167:AP167">+C66-C121</f>
        <v>0.2999999999301508</v>
      </c>
      <c r="D167" s="278">
        <f t="shared" si="27"/>
        <v>0.30000000004656613</v>
      </c>
      <c r="E167" s="278">
        <f t="shared" si="27"/>
        <v>0</v>
      </c>
      <c r="F167" s="278">
        <f t="shared" si="27"/>
        <v>0.34700000000884756</v>
      </c>
      <c r="G167" s="278">
        <f t="shared" si="27"/>
        <v>0.12899999995715916</v>
      </c>
      <c r="H167" s="278">
        <f t="shared" si="27"/>
        <v>0</v>
      </c>
      <c r="I167" s="278">
        <f t="shared" si="27"/>
        <v>0</v>
      </c>
      <c r="J167" s="278">
        <f t="shared" si="27"/>
        <v>0</v>
      </c>
      <c r="K167" s="278">
        <f t="shared" si="27"/>
        <v>0</v>
      </c>
      <c r="L167" s="278">
        <f t="shared" si="27"/>
        <v>0</v>
      </c>
      <c r="M167" s="278">
        <f t="shared" si="27"/>
        <v>0</v>
      </c>
      <c r="N167" s="278">
        <f t="shared" si="27"/>
        <v>0</v>
      </c>
      <c r="O167" s="278">
        <f>+O66-O121</f>
        <v>-0.20000000298023224</v>
      </c>
      <c r="P167" s="278">
        <f>+P66-P121</f>
        <v>0.19999999995343387</v>
      </c>
      <c r="Q167" s="278">
        <f>+Q66-Q121</f>
        <v>0</v>
      </c>
      <c r="R167" s="278">
        <f t="shared" si="27"/>
        <v>0</v>
      </c>
      <c r="S167" s="278">
        <f t="shared" si="27"/>
        <v>0.40107711777091026</v>
      </c>
      <c r="T167" s="278">
        <f t="shared" si="27"/>
        <v>0.374224491417408</v>
      </c>
      <c r="U167" s="278">
        <f t="shared" si="27"/>
        <v>0.25297068036161363</v>
      </c>
      <c r="V167" s="278">
        <f t="shared" si="27"/>
        <v>-0.485029999865219</v>
      </c>
      <c r="W167" s="278">
        <f t="shared" si="27"/>
        <v>0</v>
      </c>
      <c r="X167" s="278">
        <f t="shared" si="27"/>
        <v>0</v>
      </c>
      <c r="Y167" s="278">
        <f t="shared" si="27"/>
        <v>0</v>
      </c>
      <c r="Z167" s="278">
        <f t="shared" si="27"/>
        <v>0</v>
      </c>
      <c r="AA167" s="278">
        <f t="shared" si="27"/>
        <v>-0.01600000000325963</v>
      </c>
      <c r="AB167" s="278">
        <f t="shared" si="27"/>
        <v>0</v>
      </c>
      <c r="AC167" s="278">
        <f t="shared" si="27"/>
        <v>0</v>
      </c>
      <c r="AD167" s="278">
        <f t="shared" si="27"/>
        <v>0</v>
      </c>
      <c r="AE167" s="278">
        <f>+AE66-AE121</f>
        <v>-0.044999999983701855</v>
      </c>
      <c r="AF167" s="278">
        <f>+AF66-AF121</f>
        <v>-0.3610000000044238</v>
      </c>
      <c r="AG167" s="278">
        <f>+AG66-AG121</f>
        <v>0.19399999999950523</v>
      </c>
      <c r="AH167" s="278">
        <f t="shared" si="27"/>
        <v>0</v>
      </c>
      <c r="AI167" s="278">
        <f t="shared" si="27"/>
        <v>-0.0009999996982514858</v>
      </c>
      <c r="AJ167" s="278">
        <f t="shared" si="27"/>
        <v>0</v>
      </c>
      <c r="AK167" s="278">
        <f t="shared" si="27"/>
        <v>0</v>
      </c>
      <c r="AL167" s="278">
        <f t="shared" si="27"/>
        <v>0</v>
      </c>
      <c r="AM167" s="278">
        <f t="shared" si="27"/>
        <v>0</v>
      </c>
      <c r="AN167" s="278">
        <f t="shared" si="27"/>
        <v>0</v>
      </c>
      <c r="AO167" s="278">
        <f t="shared" si="27"/>
        <v>0</v>
      </c>
      <c r="AP167" s="278">
        <f t="shared" si="27"/>
        <v>1.3902422785758972</v>
      </c>
    </row>
    <row r="168" spans="1:85" s="281" customFormat="1" ht="11.25" customHeight="1" hidden="1">
      <c r="A168" s="281" t="s">
        <v>514</v>
      </c>
      <c r="B168" s="278">
        <f>+B163-B98</f>
        <v>0.10000000009313226</v>
      </c>
      <c r="C168" s="278">
        <f aca="true" t="shared" si="28" ref="C168:AP168">+C163-C98</f>
        <v>-0.3999999999996362</v>
      </c>
      <c r="D168" s="278">
        <f t="shared" si="28"/>
        <v>0.10000000000582077</v>
      </c>
      <c r="E168" s="278">
        <f t="shared" si="28"/>
        <v>0</v>
      </c>
      <c r="F168" s="278">
        <f t="shared" si="28"/>
        <v>0.23500000000240107</v>
      </c>
      <c r="G168" s="278">
        <f t="shared" si="28"/>
        <v>0.1429999999818392</v>
      </c>
      <c r="H168" s="278">
        <f t="shared" si="28"/>
        <v>0</v>
      </c>
      <c r="I168" s="278">
        <f t="shared" si="28"/>
        <v>0</v>
      </c>
      <c r="J168" s="278">
        <f t="shared" si="28"/>
        <v>0</v>
      </c>
      <c r="K168" s="278">
        <f t="shared" si="28"/>
        <v>0</v>
      </c>
      <c r="L168" s="278">
        <f t="shared" si="28"/>
        <v>0</v>
      </c>
      <c r="M168" s="278">
        <f t="shared" si="28"/>
        <v>0</v>
      </c>
      <c r="N168" s="278">
        <f t="shared" si="28"/>
        <v>-0.39999999990686774</v>
      </c>
      <c r="O168" s="278">
        <f>+O163-O98</f>
        <v>0</v>
      </c>
      <c r="P168" s="278">
        <f>+P163-P98</f>
        <v>0.19999999995343387</v>
      </c>
      <c r="Q168" s="278">
        <f>+Q163-Q98</f>
        <v>-0.09999999997671694</v>
      </c>
      <c r="R168" s="278">
        <f t="shared" si="28"/>
        <v>0</v>
      </c>
      <c r="S168" s="278">
        <f t="shared" si="28"/>
        <v>-0.40638288384798216</v>
      </c>
      <c r="T168" s="278">
        <f t="shared" si="28"/>
        <v>0.3636334889670252</v>
      </c>
      <c r="U168" s="278">
        <f t="shared" si="28"/>
        <v>-0.2845493195081872</v>
      </c>
      <c r="V168" s="278">
        <f t="shared" si="28"/>
        <v>0.43499999995674443</v>
      </c>
      <c r="W168" s="278">
        <f t="shared" si="28"/>
        <v>0</v>
      </c>
      <c r="X168" s="278">
        <f t="shared" si="28"/>
        <v>0</v>
      </c>
      <c r="Y168" s="278">
        <f t="shared" si="28"/>
        <v>0</v>
      </c>
      <c r="Z168" s="278">
        <f t="shared" si="28"/>
        <v>0</v>
      </c>
      <c r="AA168" s="278">
        <f t="shared" si="28"/>
        <v>-0.41999999999825377</v>
      </c>
      <c r="AB168" s="278">
        <f t="shared" si="28"/>
        <v>-0.05499999999301508</v>
      </c>
      <c r="AC168" s="278">
        <f t="shared" si="28"/>
        <v>0</v>
      </c>
      <c r="AD168" s="278">
        <f t="shared" si="28"/>
        <v>0</v>
      </c>
      <c r="AE168" s="278">
        <f>+AE163-AE98</f>
        <v>-0.06600000001435546</v>
      </c>
      <c r="AF168" s="278">
        <f>+AF163-AF98</f>
        <v>-0.13499999999703505</v>
      </c>
      <c r="AG168" s="278">
        <f>+AG163-AG98</f>
        <v>0</v>
      </c>
      <c r="AH168" s="278">
        <f t="shared" si="28"/>
        <v>0</v>
      </c>
      <c r="AI168" s="278">
        <f t="shared" si="28"/>
        <v>0</v>
      </c>
      <c r="AJ168" s="278">
        <f t="shared" si="28"/>
        <v>1.751914169290103E-10</v>
      </c>
      <c r="AK168" s="278">
        <f t="shared" si="28"/>
        <v>-4.445155354915187E-11</v>
      </c>
      <c r="AL168" s="278">
        <f t="shared" si="28"/>
        <v>0</v>
      </c>
      <c r="AM168" s="278">
        <f t="shared" si="28"/>
        <v>0</v>
      </c>
      <c r="AN168" s="278">
        <f t="shared" si="28"/>
        <v>0</v>
      </c>
      <c r="AO168" s="278">
        <f t="shared" si="28"/>
        <v>0</v>
      </c>
      <c r="AP168" s="278">
        <f t="shared" si="28"/>
        <v>-0.6902987145585939</v>
      </c>
      <c r="AQ168" s="282"/>
      <c r="AR168" s="282"/>
      <c r="AS168" s="282"/>
      <c r="AT168" s="282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2"/>
      <c r="BT168" s="282"/>
      <c r="BU168" s="282"/>
      <c r="BV168" s="282"/>
      <c r="BW168" s="282"/>
      <c r="BX168" s="282"/>
      <c r="BY168" s="282"/>
      <c r="BZ168" s="282"/>
      <c r="CA168" s="282"/>
      <c r="CB168" s="282"/>
      <c r="CC168" s="282"/>
      <c r="CD168" s="282"/>
      <c r="CE168" s="282"/>
      <c r="CF168" s="282"/>
      <c r="CG168" s="282"/>
    </row>
    <row r="171" spans="4:34" ht="11.25" customHeight="1">
      <c r="D171" s="177"/>
      <c r="AH171" s="177"/>
    </row>
  </sheetData>
  <sheetProtection/>
  <mergeCells count="38">
    <mergeCell ref="B1:D1"/>
    <mergeCell ref="B2:D2"/>
    <mergeCell ref="B4:D4"/>
    <mergeCell ref="F1:G1"/>
    <mergeCell ref="F2:G2"/>
    <mergeCell ref="F4:G4"/>
    <mergeCell ref="H1:J1"/>
    <mergeCell ref="H2:J2"/>
    <mergeCell ref="H4:J4"/>
    <mergeCell ref="K1:L1"/>
    <mergeCell ref="K2:L2"/>
    <mergeCell ref="K4:L4"/>
    <mergeCell ref="M1:N1"/>
    <mergeCell ref="M2:N2"/>
    <mergeCell ref="M4:N4"/>
    <mergeCell ref="O1:Q1"/>
    <mergeCell ref="O2:Q2"/>
    <mergeCell ref="O3:Q3"/>
    <mergeCell ref="O4:Q4"/>
    <mergeCell ref="S1:V1"/>
    <mergeCell ref="S2:V2"/>
    <mergeCell ref="S4:V4"/>
    <mergeCell ref="AC1:AD1"/>
    <mergeCell ref="AC2:AD2"/>
    <mergeCell ref="AC3:AD3"/>
    <mergeCell ref="AC4:AD4"/>
    <mergeCell ref="W1:X1"/>
    <mergeCell ref="W2:X2"/>
    <mergeCell ref="W3:X3"/>
    <mergeCell ref="W4:X4"/>
    <mergeCell ref="AI1:AL1"/>
    <mergeCell ref="AI2:AL2"/>
    <mergeCell ref="AI3:AL3"/>
    <mergeCell ref="AI4:AL4"/>
    <mergeCell ref="AE1:AG1"/>
    <mergeCell ref="AE2:AG2"/>
    <mergeCell ref="AE3:AG3"/>
    <mergeCell ref="AE4:AG4"/>
  </mergeCells>
  <printOptions/>
  <pageMargins left="0.4724409448818898" right="0.27" top="0.984251968503937" bottom="0" header="0.23" footer="0.11811023622047245"/>
  <pageSetup firstPageNumber="55" useFirstPageNumber="1" horizontalDpi="600" verticalDpi="600" orientation="portrait" paperSize="9" scale="96" r:id="rId1"/>
  <headerFooter alignWithMargins="0">
    <oddHeader>&amp;C&amp;"Times New Roman,Bold"&amp;14 5.1. SÉREIGNADEILDIR
YFIRLIT, EFNAHAGSREIKNINGAR OG SJÓÐSTREYMI ÁRIÐ 2004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Arnar Jón Sigurgeirsson</cp:lastModifiedBy>
  <cp:lastPrinted>2005-08-18T10:27:31Z</cp:lastPrinted>
  <dcterms:created xsi:type="dcterms:W3CDTF">2001-12-27T12:25:25Z</dcterms:created>
  <dcterms:modified xsi:type="dcterms:W3CDTF">2012-03-16T14:30:39Z</dcterms:modified>
  <cp:category/>
  <cp:version/>
  <cp:contentType/>
  <cp:contentStatus/>
</cp:coreProperties>
</file>