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0" windowWidth="10695" windowHeight="6225" activeTab="0"/>
  </bookViews>
  <sheets>
    <sheet name="2.1 Stafróf" sheetId="1" r:id="rId1"/>
    <sheet name="2.2. Listi" sheetId="2" r:id="rId2"/>
    <sheet name="2.3. Kerfi" sheetId="3" r:id="rId3"/>
    <sheet name="3.1 Efnah." sheetId="4" r:id="rId4"/>
    <sheet name="3.2 Yfirlit" sheetId="5" r:id="rId5"/>
    <sheet name="3.3 Sjóðst." sheetId="6" r:id="rId6"/>
    <sheet name="3.4 Kennit." sheetId="7" r:id="rId7"/>
    <sheet name="4 Aðrar fjárf." sheetId="8" r:id="rId8"/>
    <sheet name="Útreikningar" sheetId="9" r:id="rId9"/>
  </sheets>
  <definedNames>
    <definedName name="GREIÐSLU_LÍFEYRIS">'3.1 Efnah.'!$B$58:$CS$58</definedName>
    <definedName name="Hrein">'3.1 Efnah.'!$A$1:$CS$58</definedName>
    <definedName name="_xlnm.Print_Area" localSheetId="0">'2.1 Stafróf'!$A$1:$G$60</definedName>
    <definedName name="_xlnm.Print_Area" localSheetId="1">'2.2. Listi'!$A$1:$I$104</definedName>
    <definedName name="_xlnm.Print_Area" localSheetId="3">'3.1 Efnah.'!$A$1:$CY$59</definedName>
    <definedName name="_xlnm.Print_Area" localSheetId="4">'3.2 Yfirlit'!$A$1:$DA$68</definedName>
    <definedName name="_xlnm.Print_Area" localSheetId="5">'3.3 Sjóðst.'!$A$1:$CZ$42</definedName>
    <definedName name="_xlnm.Print_Area" localSheetId="6">'3.4 Kennit.'!$A$1:$CZ$51</definedName>
    <definedName name="_xlnm.Print_Area" localSheetId="7">'4 Aðrar fjárf.'!$A$1:$BP$30</definedName>
    <definedName name="_xlnm.Print_Area" localSheetId="8">'Útreikningar'!$A$5:$CV$57</definedName>
    <definedName name="_xlnm.Print_Titles" localSheetId="3">'3.1 Efnah.'!$A:$A</definedName>
    <definedName name="_xlnm.Print_Titles" localSheetId="4">'3.2 Yfirlit'!$A:$A</definedName>
    <definedName name="_xlnm.Print_Titles" localSheetId="5">'3.3 Sjóðst.'!$A:$A</definedName>
    <definedName name="_xlnm.Print_Titles" localSheetId="6">'3.4 Kennit.'!$A:$B</definedName>
    <definedName name="_xlnm.Print_Titles" localSheetId="7">'4 Aðrar fjárf.'!$A:$B</definedName>
    <definedName name="_xlnm.Print_Titles" localSheetId="8">'Útreikningar'!$A:$A</definedName>
  </definedNames>
  <calcPr fullCalcOnLoad="1"/>
</workbook>
</file>

<file path=xl/comments4.xml><?xml version="1.0" encoding="utf-8"?>
<comments xmlns="http://schemas.openxmlformats.org/spreadsheetml/2006/main">
  <authors>
    <author>Sigr??ur ?marsd?ttir</author>
  </authors>
  <commentList>
    <comment ref="I41" authorId="0">
      <text>
        <r>
          <rPr>
            <b/>
            <sz val="8"/>
            <rFont val="Tahoma"/>
            <family val="0"/>
          </rPr>
          <t>Sigríður Ómarsdóttir:</t>
        </r>
        <r>
          <rPr>
            <sz val="8"/>
            <rFont val="Tahoma"/>
            <family val="0"/>
          </rPr>
          <t xml:space="preserve">
+1
</t>
        </r>
      </text>
    </comment>
    <comment ref="BC48" authorId="0">
      <text>
        <r>
          <rPr>
            <b/>
            <sz val="8"/>
            <rFont val="Tahoma"/>
            <family val="0"/>
          </rPr>
          <t>Sigríður Ómarsdóttir:</t>
        </r>
        <r>
          <rPr>
            <sz val="8"/>
            <rFont val="Tahoma"/>
            <family val="0"/>
          </rPr>
          <t xml:space="preserve">
Stemmir ekki í sundurliðunum á að vera 19.202 hærra ATh</t>
        </r>
      </text>
    </comment>
  </commentList>
</comments>
</file>

<file path=xl/sharedStrings.xml><?xml version="1.0" encoding="utf-8"?>
<sst xmlns="http://schemas.openxmlformats.org/spreadsheetml/2006/main" count="2933" uniqueCount="502">
  <si>
    <t>Lífeyrissj.</t>
  </si>
  <si>
    <t>Sameinaði</t>
  </si>
  <si>
    <t>Söfnunarsj.</t>
  </si>
  <si>
    <t>Samvinnu-</t>
  </si>
  <si>
    <t>Eftirlaunasj.</t>
  </si>
  <si>
    <t xml:space="preserve">Frjálsi </t>
  </si>
  <si>
    <t>Lífeyris-</t>
  </si>
  <si>
    <t>Almennur</t>
  </si>
  <si>
    <t xml:space="preserve">Íslenski </t>
  </si>
  <si>
    <t>Trygginga-</t>
  </si>
  <si>
    <t xml:space="preserve">ALLIR   </t>
  </si>
  <si>
    <t>Fjárhæðir í þús. kr.</t>
  </si>
  <si>
    <t>verslunar-</t>
  </si>
  <si>
    <t>sjómanna</t>
  </si>
  <si>
    <t>starfsm.</t>
  </si>
  <si>
    <t>lífeyris-</t>
  </si>
  <si>
    <t>Framsýn</t>
  </si>
  <si>
    <t>Norður-</t>
  </si>
  <si>
    <t xml:space="preserve">bænda </t>
  </si>
  <si>
    <t>Austur-</t>
  </si>
  <si>
    <t xml:space="preserve">Vest- </t>
  </si>
  <si>
    <t>Suður-</t>
  </si>
  <si>
    <t xml:space="preserve">lækna </t>
  </si>
  <si>
    <t>Vestmanna-</t>
  </si>
  <si>
    <t>Vestur-</t>
  </si>
  <si>
    <t>hjúkrunar-</t>
  </si>
  <si>
    <t>verkalfél.</t>
  </si>
  <si>
    <t xml:space="preserve">K.E.A. </t>
  </si>
  <si>
    <t>Eimskipa-</t>
  </si>
  <si>
    <t>sjóðurinn</t>
  </si>
  <si>
    <t>lífeyrissj.</t>
  </si>
  <si>
    <t>Flugvirkjaf.</t>
  </si>
  <si>
    <t>Bolungar-</t>
  </si>
  <si>
    <t>Rangæinga</t>
  </si>
  <si>
    <t>slökkvilm. á</t>
  </si>
  <si>
    <t>Mjólkur-</t>
  </si>
  <si>
    <t>stm. Kópa-</t>
  </si>
  <si>
    <t>Hafnarfj-</t>
  </si>
  <si>
    <t>stm. Akur-</t>
  </si>
  <si>
    <t>Tannl.fél.</t>
  </si>
  <si>
    <t>Sláturfélags</t>
  </si>
  <si>
    <t>Akranes-</t>
  </si>
  <si>
    <t>stm. Olíu-</t>
  </si>
  <si>
    <t>stm. Húsa-</t>
  </si>
  <si>
    <t xml:space="preserve">starfsm. </t>
  </si>
  <si>
    <t>Neskaup-</t>
  </si>
  <si>
    <t>sjóður</t>
  </si>
  <si>
    <t>stm. Vestm-</t>
  </si>
  <si>
    <t>stm. Rvík.-</t>
  </si>
  <si>
    <t>LÍFEYRISSJ.</t>
  </si>
  <si>
    <t>Séreigna-</t>
  </si>
  <si>
    <t xml:space="preserve">manna  </t>
  </si>
  <si>
    <t>réttinda</t>
  </si>
  <si>
    <t xml:space="preserve">lands </t>
  </si>
  <si>
    <t>firðinga</t>
  </si>
  <si>
    <t xml:space="preserve">nesja </t>
  </si>
  <si>
    <t xml:space="preserve">Íslands </t>
  </si>
  <si>
    <t>Norðurl. v</t>
  </si>
  <si>
    <t>Reykjavb.</t>
  </si>
  <si>
    <t>félags Ísl.</t>
  </si>
  <si>
    <t>Íslandsb. hf.</t>
  </si>
  <si>
    <t>Hlíf</t>
  </si>
  <si>
    <t xml:space="preserve">VÍB   </t>
  </si>
  <si>
    <t>Íslands</t>
  </si>
  <si>
    <t>víkur</t>
  </si>
  <si>
    <t>Keflavflugv.</t>
  </si>
  <si>
    <t>manna</t>
  </si>
  <si>
    <t>samsöl.</t>
  </si>
  <si>
    <t>vogskaupst.</t>
  </si>
  <si>
    <t>kaupst.</t>
  </si>
  <si>
    <t>eyrarbæjar</t>
  </si>
  <si>
    <t>Suðurlands</t>
  </si>
  <si>
    <t>versl. Ísl.</t>
  </si>
  <si>
    <t xml:space="preserve">sjóðurinn </t>
  </si>
  <si>
    <t>Áburðarv.</t>
  </si>
  <si>
    <t>Skjöldur</t>
  </si>
  <si>
    <t xml:space="preserve">bæjar  </t>
  </si>
  <si>
    <t>Eining</t>
  </si>
  <si>
    <t>víkurbæjar</t>
  </si>
  <si>
    <t>Útvegsb. Ísl.</t>
  </si>
  <si>
    <t xml:space="preserve">staðar </t>
  </si>
  <si>
    <t>lækna</t>
  </si>
  <si>
    <t>eyjabæjar</t>
  </si>
  <si>
    <t xml:space="preserve">apóteks </t>
  </si>
  <si>
    <t xml:space="preserve">SAMTALS  </t>
  </si>
  <si>
    <t xml:space="preserve">      (1)</t>
  </si>
  <si>
    <t>(2)</t>
  </si>
  <si>
    <t>(3)</t>
  </si>
  <si>
    <t>(4)</t>
  </si>
  <si>
    <t>(5)</t>
  </si>
  <si>
    <t>(6)</t>
  </si>
  <si>
    <t>(7)</t>
  </si>
  <si>
    <t>(8)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</si>
  <si>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</si>
  <si>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</si>
  <si>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</si>
  <si>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</si>
  <si>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</si>
  <si>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</si>
  <si>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</si>
  <si>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</si>
  <si>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</si>
  <si>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</si>
  <si>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</si>
  <si>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</si>
  <si>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</si>
  <si>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</si>
  <si>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</si>
  <si>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</si>
  <si>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</si>
  <si>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</si>
  <si>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</si>
  <si>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</si>
  <si>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</si>
  <si>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</si>
  <si>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</si>
  <si>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</si>
  <si>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(38)</t>
  </si>
  <si>
    <t>(39)</t>
  </si>
  <si>
    <t>(40)</t>
  </si>
  <si>
    <t>(41)</t>
  </si>
  <si>
    <t>(42)</t>
  </si>
  <si>
    <t>(43)</t>
  </si>
  <si>
    <t>(44)</t>
  </si>
  <si>
    <t>(46)</t>
  </si>
  <si>
    <t>(47)</t>
  </si>
  <si>
    <t>(48)</t>
  </si>
  <si>
    <t>(49)</t>
  </si>
  <si>
    <t>(50)</t>
  </si>
  <si>
    <t>(51)</t>
  </si>
  <si>
    <t>(52)</t>
  </si>
  <si>
    <t>(55)</t>
  </si>
  <si>
    <t>(56)</t>
  </si>
  <si>
    <t xml:space="preserve">HREIN EIGN TIL </t>
  </si>
  <si>
    <t>GREIÐSLU LÍFEYRIS</t>
  </si>
  <si>
    <t xml:space="preserve"> </t>
  </si>
  <si>
    <t>Hrein raunávöxtun</t>
  </si>
  <si>
    <t>Fjöldi sjóðfélaga</t>
  </si>
  <si>
    <t>Fjöldi lífeyrisþega</t>
  </si>
  <si>
    <t>Ellilífeyrir  (%)</t>
  </si>
  <si>
    <t>Örorkulífeyrir  (%)</t>
  </si>
  <si>
    <t>Makalífeyrir  (%)</t>
  </si>
  <si>
    <t>Barnalífeyrir  (%)</t>
  </si>
  <si>
    <t>Ýmsar athugasemdir:</t>
  </si>
  <si>
    <t>Skýringar á kennitölum: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</si>
  <si>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</si>
  <si>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</si>
  <si>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</si>
  <si>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</si>
  <si>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</si>
  <si>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 xml:space="preserve">       Samtals</t>
  </si>
  <si>
    <t>Meðalstaða eigna við útreikn.</t>
  </si>
  <si>
    <t xml:space="preserve"> á ávöxtun</t>
  </si>
  <si>
    <t>Aukning</t>
  </si>
  <si>
    <t>þús.kr.</t>
  </si>
  <si>
    <t>%</t>
  </si>
  <si>
    <t>Lífeyrissjóður verslunarmanna</t>
  </si>
  <si>
    <t>Lífeyrissjóður sjómanna</t>
  </si>
  <si>
    <t>1)</t>
  </si>
  <si>
    <t>Sameinaði lífeyrissjóðurinn</t>
  </si>
  <si>
    <t>2)</t>
  </si>
  <si>
    <t>Söfnunarsjóður lífeyrisréttinda</t>
  </si>
  <si>
    <t>Lífeyrissjóður Norðurlands</t>
  </si>
  <si>
    <t>Samvinnulífeyrissjóðurinn</t>
  </si>
  <si>
    <t>Lífeyrissjóður bænda</t>
  </si>
  <si>
    <t>Lífeyrissjóður Austurlands</t>
  </si>
  <si>
    <t>Lífeyrissjóður Vestfirðinga</t>
  </si>
  <si>
    <t>Lífeyrissjóður Suðurnesja</t>
  </si>
  <si>
    <t>Lífeyrissjóður lækna</t>
  </si>
  <si>
    <t>Lífeyrissjóður Vesturlands</t>
  </si>
  <si>
    <t>Frjálsi lífeyrissjóðurinn</t>
  </si>
  <si>
    <t>Lífeyrissjóður K.E.A.</t>
  </si>
  <si>
    <t>Lífeyrissjóður verkalýðsfél. á Norðurl. vestra</t>
  </si>
  <si>
    <t>Lífeyrissjóður starfsmanna Reykjavíkurborgar</t>
  </si>
  <si>
    <t>Lífeyrissjóður Eimskipafélags Íslands hf.</t>
  </si>
  <si>
    <t>Eftirlaunasj. starfsmanna Íslandsbanka hf.</t>
  </si>
  <si>
    <t>Lífeyrissjóðurinn Hlíf</t>
  </si>
  <si>
    <t>Almennur lífeyrissjóður VÍB</t>
  </si>
  <si>
    <t>Lífeyrissjóður Flugvirkjafélags Íslands</t>
  </si>
  <si>
    <t>Lífeyrissjóður Bolungarvíkur</t>
  </si>
  <si>
    <t>Lífeyrissjóður Rangæinga</t>
  </si>
  <si>
    <t>Eftirlaunasj. slökkviliðsmanna á Keflavíkurfl.v.</t>
  </si>
  <si>
    <t>Skýringar:</t>
  </si>
  <si>
    <t>Lífeyrissjóður starfsm. Kópavogskaupstaðar</t>
  </si>
  <si>
    <t>Lífeyrissjóður starfsm. Akureyrarbæjar</t>
  </si>
  <si>
    <t>Lífeyrissjóður Tannlæknafélags Íslands</t>
  </si>
  <si>
    <t>Eftirlaunasjóður Sláturf. Suðurlands</t>
  </si>
  <si>
    <t>Lífeyrissjóður Akraneskaupstaðar</t>
  </si>
  <si>
    <t>Eftirlaunasjóður starfsmanna Olíuverslunar Ísl.</t>
  </si>
  <si>
    <t>Íslenski lífeyrissjóðurinn</t>
  </si>
  <si>
    <t>Lífeyrissjóðurinn Skjöldur</t>
  </si>
  <si>
    <t>Lífeyrissjóðurinn Eining</t>
  </si>
  <si>
    <t>Lífeyrissjóður starfsmanna Húsavíkurbæjar</t>
  </si>
  <si>
    <t>Eftirlaunasjóður starfsm. Útvegsbanka Ísl.</t>
  </si>
  <si>
    <t>Lífeyrissjóður Neskaupstaðar</t>
  </si>
  <si>
    <t>Tryggingasjóður lækna</t>
  </si>
  <si>
    <t>Lífeyrissjóður starfsm. Vestmannaeyjabæjar</t>
  </si>
  <si>
    <t>Lífeyrissjóður starfsm. Reykjavíkurapóteks</t>
  </si>
  <si>
    <t>Samtals:</t>
  </si>
  <si>
    <t>(9)</t>
  </si>
  <si>
    <t>(10)</t>
  </si>
  <si>
    <t>(11)</t>
  </si>
  <si>
    <t>Lífeyrissjóðurinn Framsýn</t>
  </si>
  <si>
    <t xml:space="preserve">fræðinga </t>
  </si>
  <si>
    <t>Lífeyrissjóður hjúkrunarfræðinga</t>
  </si>
  <si>
    <t>(53)</t>
  </si>
  <si>
    <t xml:space="preserve">    þ.a. tekjur </t>
  </si>
  <si>
    <t xml:space="preserve">    þ.a.  gjöld</t>
  </si>
  <si>
    <t xml:space="preserve">    Annar rekstrarkostnaður </t>
  </si>
  <si>
    <t xml:space="preserve">    Tap af sölu fjárfestinga</t>
  </si>
  <si>
    <t xml:space="preserve">    Vaxtagjöld</t>
  </si>
  <si>
    <t xml:space="preserve">    Reikn. tekjur/gjöld v. verðl.br. </t>
  </si>
  <si>
    <t xml:space="preserve">    Hagnaður af sölu fjárfestinga</t>
  </si>
  <si>
    <t xml:space="preserve">    Vaxtatekjur og gengismunur</t>
  </si>
  <si>
    <t xml:space="preserve">    Annar beinn kostn. v/ örorkulífeyris</t>
  </si>
  <si>
    <t xml:space="preserve">    Umsjónarnefnd eftirlauna </t>
  </si>
  <si>
    <t xml:space="preserve">    Lífeyrir 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</si>
  <si>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</si>
  <si>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</si>
  <si>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</si>
  <si>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</t>
  </si>
  <si>
    <t xml:space="preserve">     Iðgjöld    </t>
  </si>
  <si>
    <t xml:space="preserve">     Lífeyrir    </t>
  </si>
  <si>
    <t xml:space="preserve">     Fjárfestingartekjur    </t>
  </si>
  <si>
    <t xml:space="preserve">             Fjárfestingargjöld    </t>
  </si>
  <si>
    <t xml:space="preserve">     Rekstrarkostnaður    </t>
  </si>
  <si>
    <t xml:space="preserve">    Af eignarhlutum</t>
  </si>
  <si>
    <t xml:space="preserve">    Af húseignum og lóðum</t>
  </si>
  <si>
    <t xml:space="preserve">    Skrifstofu- og stjórnunarkostnaður </t>
  </si>
  <si>
    <t>Iðgjöld</t>
  </si>
  <si>
    <t>Lífeyrir</t>
  </si>
  <si>
    <t>Fjárfestingartekjur</t>
  </si>
  <si>
    <t>Fjárfestingargjöld</t>
  </si>
  <si>
    <t xml:space="preserve">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</si>
  <si>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</si>
  <si>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</si>
  <si>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</si>
  <si>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</si>
  <si>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</si>
  <si>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>Matsbreytingar</t>
  </si>
  <si>
    <t>Hækkun á hreinni eign á árinu</t>
  </si>
  <si>
    <t>Hrein eign frá fyrra ári</t>
  </si>
  <si>
    <t xml:space="preserve">EIGNIR </t>
  </si>
  <si>
    <t>SKULDIR</t>
  </si>
  <si>
    <t xml:space="preserve">      Aðrar fjárfestingar    </t>
  </si>
  <si>
    <t xml:space="preserve">Kröfur    </t>
  </si>
  <si>
    <t xml:space="preserve">Aðrar eignir    </t>
  </si>
  <si>
    <t xml:space="preserve">Viðskiptaskuldir    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</si>
  <si>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</si>
  <si>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</si>
  <si>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</si>
  <si>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</si>
  <si>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</si>
  <si>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</si>
  <si>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</si>
  <si>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</si>
  <si>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</si>
  <si>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</si>
  <si>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</si>
  <si>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</si>
  <si>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</si>
  <si>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</si>
  <si>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</si>
  <si>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</si>
  <si>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</si>
  <si>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</si>
  <si>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</si>
  <si>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Húseignir og lóðir</t>
  </si>
  <si>
    <t>Lífiðn</t>
  </si>
  <si>
    <t xml:space="preserve">EIGNIR SAMTALS      </t>
  </si>
  <si>
    <t xml:space="preserve">    Tekjur vegna matsbr. fjárfestinga</t>
  </si>
  <si>
    <t xml:space="preserve">    Gjöld vegna matsbr. fjárfestinga</t>
  </si>
  <si>
    <t>Önnur skuldabréf</t>
  </si>
  <si>
    <t>Hlutabréf</t>
  </si>
  <si>
    <t>Kaup á verðbr. og önnur fjárfesting</t>
  </si>
  <si>
    <t xml:space="preserve">    Seld verðbréf m. breytil. tekjum</t>
  </si>
  <si>
    <t xml:space="preserve">    Seld verðbréf m. föstum tekjum</t>
  </si>
  <si>
    <t>Lífeyrissjóðurinn Lífiðn</t>
  </si>
  <si>
    <t>Séreignalífeyrissjóðurinn</t>
  </si>
  <si>
    <t xml:space="preserve">   Óefnislegar eignir</t>
  </si>
  <si>
    <t xml:space="preserve">   Fjárfestingar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</si>
  <si>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</si>
  <si>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</si>
  <si>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</si>
  <si>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</si>
  <si>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</si>
  <si>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Kröfur</t>
  </si>
  <si>
    <t xml:space="preserve">     Á launagreiðendur</t>
  </si>
  <si>
    <t xml:space="preserve">     Aðrar kröfur</t>
  </si>
  <si>
    <t xml:space="preserve">  Aðrar eignir</t>
  </si>
  <si>
    <t xml:space="preserve">     Rekstrarfjárm. og aðrar efnisl. eignir</t>
  </si>
  <si>
    <t xml:space="preserve">     Aðrar eignir</t>
  </si>
  <si>
    <t xml:space="preserve">     Skuldir við lánastofnanir</t>
  </si>
  <si>
    <t xml:space="preserve">     Skuldabréfalán</t>
  </si>
  <si>
    <t xml:space="preserve">     Aðrar skuldir</t>
  </si>
  <si>
    <t>HREIN EIGN Í ÁRSLOK</t>
  </si>
  <si>
    <t>TIL GREIÐSLU LÍFEYRIS</t>
  </si>
  <si>
    <t xml:space="preserve">Kaup á verðbr. og önnur fjárfest.  </t>
  </si>
  <si>
    <t>Reykjanes-</t>
  </si>
  <si>
    <t>Eftirlaunasjóður Reykjanesbæjar</t>
  </si>
  <si>
    <t xml:space="preserve">eyja </t>
  </si>
  <si>
    <t>Lífeyrissjóður Vestmannaeyja</t>
  </si>
  <si>
    <t>Eftirlaunasjóður FÍA</t>
  </si>
  <si>
    <t>Eftirlauna-</t>
  </si>
  <si>
    <t>FÍA</t>
  </si>
  <si>
    <t>Eftirlaunasj. starfsm. Hafnarfjarðarkaupstaðar</t>
  </si>
  <si>
    <t>Lífeyrissj. starfsm. Áburðarverksmiðju ríkisins</t>
  </si>
  <si>
    <t xml:space="preserve">   Áfallinn kostn. og f.fr.innh.tekjur</t>
  </si>
  <si>
    <t>Fjárfestingar</t>
  </si>
  <si>
    <t>annarra</t>
  </si>
  <si>
    <t>með ábyrgð</t>
  </si>
  <si>
    <t>banka-</t>
  </si>
  <si>
    <t>Lífeyrissjóður bankamanna</t>
  </si>
  <si>
    <t xml:space="preserve">arkitekta og </t>
  </si>
  <si>
    <t>tæknifr.</t>
  </si>
  <si>
    <t>sveitarfél.</t>
  </si>
  <si>
    <t>Lífeyrissjóður arkitekta og tæknifræðinga</t>
  </si>
  <si>
    <t>Lífeyrissjóður starfsmanna sveitarfélaga</t>
  </si>
  <si>
    <t xml:space="preserve">kaupst. </t>
  </si>
  <si>
    <t>Lífeyrissjóður Suðurlands</t>
  </si>
  <si>
    <t>Lífeyrissjóður verkfræðinga</t>
  </si>
  <si>
    <t>fræðinga</t>
  </si>
  <si>
    <t>verk-</t>
  </si>
  <si>
    <t>Búnaðarb.</t>
  </si>
  <si>
    <t>Útreikningur á kennitölum:</t>
  </si>
  <si>
    <t>Lífeyrissjóður starfsm. Búnaðarbanka Íslands hf.</t>
  </si>
  <si>
    <t xml:space="preserve">Lífeyrissjóður Mjólkursamsölunnar               </t>
  </si>
  <si>
    <t xml:space="preserve"> 31.12.1999</t>
  </si>
  <si>
    <t xml:space="preserve">    Tryggingakostnaður</t>
  </si>
  <si>
    <t xml:space="preserve">    Frá samstæðufélögum</t>
  </si>
  <si>
    <t xml:space="preserve">    Frá hlutdeildarfélögum</t>
  </si>
  <si>
    <t xml:space="preserve">    Breytingar á niðurfærslu</t>
  </si>
  <si>
    <t xml:space="preserve">    Aðrar fjárfestingartekjur</t>
  </si>
  <si>
    <t xml:space="preserve">    Önnur fjárfestingargjöld</t>
  </si>
  <si>
    <t xml:space="preserve">    Samstæðu- og hlutdeildarfélög</t>
  </si>
  <si>
    <t xml:space="preserve">     Bankainnstæður</t>
  </si>
  <si>
    <t xml:space="preserve">     Á samstæðu- og hlutdeildarfél.</t>
  </si>
  <si>
    <t xml:space="preserve">     Sjóður og veltiinnlán</t>
  </si>
  <si>
    <t xml:space="preserve">     Skuldir við samst.- og hlutdeildarfél.</t>
  </si>
  <si>
    <t xml:space="preserve">    Lækkun á bankainnstæðum</t>
  </si>
  <si>
    <t xml:space="preserve">    Hækkun á bankainnstæðum</t>
  </si>
  <si>
    <t>Hrein eign umfram heildarskuldb.</t>
  </si>
  <si>
    <t>Hrein eign umfram áfallnar skuldb.</t>
  </si>
  <si>
    <t xml:space="preserve">          Samtals:</t>
  </si>
  <si>
    <t xml:space="preserve">         Samtals: </t>
  </si>
  <si>
    <t>Fjárfestingatekjur nettó fyrir</t>
  </si>
  <si>
    <t>verðbreyt.færslu - kostnaður</t>
  </si>
  <si>
    <t>i</t>
  </si>
  <si>
    <t>1) 2)</t>
  </si>
  <si>
    <t>án ábyrgðar</t>
  </si>
  <si>
    <t>Veðlán (%)</t>
  </si>
  <si>
    <t>Annað (%)</t>
  </si>
  <si>
    <t>Eignir í ísl. kr. (%)</t>
  </si>
  <si>
    <t xml:space="preserve"> 2.  Meðaltal hreinnar raunávöxtunar síðustu 5 ára samkvæmt ársreikningum.</t>
  </si>
  <si>
    <t xml:space="preserve">    Aðrar fjárfestingar</t>
  </si>
  <si>
    <t>Eignir í erl. gjaldmiðlum (%)</t>
  </si>
  <si>
    <t>Hækkun á sjóði og veltiinnlánum</t>
  </si>
  <si>
    <t>Sjóður og veltiinnlán í ársbyrjun</t>
  </si>
  <si>
    <t>Sjóður og veltiinnlán í árslok</t>
  </si>
  <si>
    <t>Annar lífeyrir í þús.kr.</t>
  </si>
  <si>
    <t>Lífeyrisbyrði</t>
  </si>
  <si>
    <t>(26)</t>
  </si>
  <si>
    <t xml:space="preserve">Lífeyrissjóður starfsmanna ríkisins 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</si>
  <si>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</si>
  <si>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</si>
  <si>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</si>
  <si>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</si>
  <si>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 xml:space="preserve"> 3.  Hlutfallsleg skipting annarra fjárfestinga.</t>
  </si>
  <si>
    <t xml:space="preserve"> 4.  Hlutfallsleg skipting annarra fjárfestinga eftir gjaldmiðlum.</t>
  </si>
  <si>
    <t xml:space="preserve">      ((Eignir  +  núvirði framtíðariðgj.)  - heildarskuldbinding) / heildarskuldbinding.</t>
  </si>
  <si>
    <t xml:space="preserve"> 8.  Lífeyrir sem hlutfall af iðgjöldum</t>
  </si>
  <si>
    <t xml:space="preserve">      sjá skýringu í inngangi að kafla 3.</t>
  </si>
  <si>
    <t>úttekt ekki fyrir-</t>
  </si>
  <si>
    <t>Útreikningur á kennitölum</t>
  </si>
  <si>
    <t>Tekur ekki við</t>
  </si>
  <si>
    <t>ómarktæk</t>
  </si>
  <si>
    <t>Hrein eign</t>
  </si>
  <si>
    <t xml:space="preserve">Hrein eign </t>
  </si>
  <si>
    <t>(14 sjóðir)</t>
  </si>
  <si>
    <t>Hr. raunávöxt.</t>
  </si>
  <si>
    <t xml:space="preserve">sbr. skýr. í </t>
  </si>
  <si>
    <t>iðgjöldum.</t>
  </si>
  <si>
    <t>liggjandi.</t>
  </si>
  <si>
    <t>Hlutfalls-</t>
  </si>
  <si>
    <t>Aldursháð-</t>
  </si>
  <si>
    <t>Lífeyrissj. stm. Búnaðarbanka Ísl. hf.</t>
  </si>
  <si>
    <t>Lífeyrissj. arkitekta og tæknifræðinga</t>
  </si>
  <si>
    <t>Lífeyrissj. verkalýðsfél. á Norðurl. v.</t>
  </si>
  <si>
    <t>Lífeyrissj. starfsm. Reykjavíkurborgar</t>
  </si>
  <si>
    <t>Lífeyrissj. Eimskipafélags Íslands hf.</t>
  </si>
  <si>
    <t>Eftirlaunasj. starfsm. Íslandsbanka hf.</t>
  </si>
  <si>
    <t>Eftirl.sj. Slökkviliðsm. á Keflavíkurfl.v.</t>
  </si>
  <si>
    <t>Lífeyrissj. starfsm. Kópavogskaupst.</t>
  </si>
  <si>
    <t>Eftirl.sj. starfsm. Hafnarfjarðarkaupst.</t>
  </si>
  <si>
    <t>Lífeyrissj. Tannlæknafélags Íslands</t>
  </si>
  <si>
    <t>Lífeyrissjóður starfsm. sveitarfélaga</t>
  </si>
  <si>
    <t>Lífeyrissj. stm. Áburðarv.smiðju ríkisins</t>
  </si>
  <si>
    <t>Eftirlaunasj. starfsm. Olíuverslunar Ísl.</t>
  </si>
  <si>
    <t>Lífeyrissj. starfsm. Húsavíkurbæjar</t>
  </si>
  <si>
    <t>Eftirlaunasj. starfsm. Útvegsbanka Ísl.</t>
  </si>
  <si>
    <t>Lífeyrissj. starfsm. Vestmannaeyjabæjar</t>
  </si>
  <si>
    <t>Lífeyrissj. stm. Reykjavíkurapóteks</t>
  </si>
  <si>
    <t xml:space="preserve">Samtals:   </t>
  </si>
  <si>
    <t xml:space="preserve">kerfi </t>
  </si>
  <si>
    <t xml:space="preserve">Stigakerfi </t>
  </si>
  <si>
    <t xml:space="preserve">Séreign </t>
  </si>
  <si>
    <t>Aldursháð kerfi: Iðgjöld gefa mismunandi stig eftir aldri sjóðfélagans.</t>
  </si>
  <si>
    <t>Stigakerfi:  Iðgjöld eru umreiknuð í stig, óháð aldri sjóðfélagans.  Hlutfallskerfi:  Lífeyrir er hlutfall af launum.</t>
  </si>
  <si>
    <t xml:space="preserve">      (Eignir - áfallin skuldbinding) / áfallin skuldbinding.</t>
  </si>
  <si>
    <t xml:space="preserve"> 31.12.2000</t>
  </si>
  <si>
    <t xml:space="preserve">Annar lífeyrir (%) </t>
  </si>
  <si>
    <t>Meðalávöxtun 1996-2000</t>
  </si>
  <si>
    <t>Hækkun vísit. neysluv.2000 (VNV)          j</t>
  </si>
  <si>
    <t>st. ríkisins</t>
  </si>
  <si>
    <t>B-deild</t>
  </si>
  <si>
    <t>A-deild</t>
  </si>
  <si>
    <t>Alþingis-</t>
  </si>
  <si>
    <t>mannadeild</t>
  </si>
  <si>
    <t>Ráðherra-</t>
  </si>
  <si>
    <t>deild</t>
  </si>
  <si>
    <t xml:space="preserve"> 5.  Meðaltal fjölda sjóðfélaga sem greiddi iðgjald á árinu 2000.</t>
  </si>
  <si>
    <t xml:space="preserve"> 6.  Meðaltal fjölda lífeyrisþega sem fékk greiddan lífeyri á árinu 2000.</t>
  </si>
  <si>
    <t xml:space="preserve"> 9.  Fjárhagsleg staða sjóðsins skv. tryggingafræðilegri úttekt m.v. 31.12.2000. </t>
  </si>
  <si>
    <t xml:space="preserve">10. Fjárhagsleg staða sjóðsins skv. tryggingafræðilegri úttekt m.v. 31.12.2000. </t>
  </si>
  <si>
    <t>samtals</t>
  </si>
  <si>
    <t>6,45%*</t>
  </si>
  <si>
    <t>Stigadeild</t>
  </si>
  <si>
    <t>Aldurst. 7,4% Stigad.-3,4%</t>
  </si>
  <si>
    <t>5,7%*</t>
  </si>
  <si>
    <t>1998-2000</t>
  </si>
  <si>
    <t>(37)</t>
  </si>
  <si>
    <t>(45)</t>
  </si>
  <si>
    <t>(54)</t>
  </si>
  <si>
    <t xml:space="preserve">Markaðsskuldabréf </t>
  </si>
  <si>
    <t>Ríkisvíxlar og skuldabréf</t>
  </si>
  <si>
    <t xml:space="preserve">Önnur verðbréf </t>
  </si>
  <si>
    <t>Séreignar-</t>
  </si>
  <si>
    <t>Aðrar fjárfestingar skv. efnahag</t>
  </si>
  <si>
    <t>Aldurstengd</t>
  </si>
  <si>
    <t>Stiga</t>
  </si>
  <si>
    <t>Hlutfalls</t>
  </si>
  <si>
    <t>V-deild</t>
  </si>
  <si>
    <t>Stiga-</t>
  </si>
  <si>
    <t>(42 sjóðir)</t>
  </si>
  <si>
    <t>Fasteignaveðtryggð skuldabréf</t>
  </si>
  <si>
    <t>Deild I</t>
  </si>
  <si>
    <t>Deild II</t>
  </si>
  <si>
    <t xml:space="preserve"> 1.  Hrein raunávöxtun miðað við vísitölu neysluverðs (4,18% hækkun á árinu 2000)</t>
  </si>
  <si>
    <t>síðustu 3ja ára</t>
  </si>
  <si>
    <t>*Meðal ávöx.</t>
  </si>
  <si>
    <t>síðustu 4ja ára</t>
  </si>
  <si>
    <t>*Meðal áv.</t>
  </si>
  <si>
    <t>í Grindavík</t>
  </si>
  <si>
    <t>verkafólks</t>
  </si>
  <si>
    <t>*Án lífeyrissj.</t>
  </si>
  <si>
    <t>*3,88%</t>
  </si>
  <si>
    <t>Skuldabréf  sveitafélaga</t>
  </si>
  <si>
    <t xml:space="preserve">Skuldabréf og víxlar lánastofnana </t>
  </si>
  <si>
    <t>Fjárhæðir í millj. kr.</t>
  </si>
  <si>
    <t>Test</t>
  </si>
  <si>
    <t>Séreignard-</t>
  </si>
  <si>
    <t>árið 2000</t>
  </si>
  <si>
    <t xml:space="preserve">Númer í </t>
  </si>
  <si>
    <t>stærðarröð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</si>
  <si>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</si>
  <si>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</si>
  <si>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</si>
  <si>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</si>
  <si>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</si>
  <si>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</si>
  <si>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>ára</t>
  </si>
  <si>
    <t xml:space="preserve">síðustu 2ja </t>
  </si>
  <si>
    <t>Skráð hlutabréf</t>
  </si>
  <si>
    <t>Óskráð hlutabréf</t>
  </si>
  <si>
    <t xml:space="preserve">Samtals    </t>
  </si>
  <si>
    <t>3)</t>
  </si>
  <si>
    <t xml:space="preserve">1) Ábyrgð annarra á skuldbindingum.  2) Tekur ekki við iðgjöldum. </t>
  </si>
  <si>
    <t xml:space="preserve">3) Lífeyrissjóðir sem sameinast viðkomandi sjóði árið 2000 eru meðtaldir í árslok.  </t>
  </si>
  <si>
    <t>1) 5)</t>
  </si>
  <si>
    <t>Lífeyrissjóður</t>
  </si>
  <si>
    <t>*</t>
  </si>
  <si>
    <t>*Tryggingafræðil.</t>
  </si>
  <si>
    <t xml:space="preserve"> 7.  Með öðrum lífeyri er átt við lífeyri sem erfist.</t>
  </si>
  <si>
    <t>*Meðalávöx.</t>
  </si>
  <si>
    <t>Aldurst. 28,7% Stigad.0,6%</t>
  </si>
  <si>
    <t>2) 4)</t>
  </si>
  <si>
    <t>Eftirfarandi yfirlit sýnir starfandi lífeyrissjóði í árslok 2000 í stafrófsröð. Um er að ræða 56 lífeyrissjóði.</t>
  </si>
  <si>
    <t>4) Ábyrgð á skuldbindingum deildar II en sjóðurinn í heild flokkast með lífeyrissjóðum án ábyrgðar annarra</t>
  </si>
  <si>
    <t>4) Ábyrgð á skuldbindingum deildar II en sjóðurinn í heild flokkast með lífeyrissjóðum án ábyrgðar annarra.</t>
  </si>
  <si>
    <t xml:space="preserve"> -0,3%*</t>
  </si>
  <si>
    <t>7,2%*</t>
  </si>
  <si>
    <t xml:space="preserve">FJÁRFESTINGAR SAMTALS    </t>
  </si>
  <si>
    <t xml:space="preserve">Þar af gengisbundin verðbréf     </t>
  </si>
  <si>
    <t xml:space="preserve">Þar af óskráð verðbréf    </t>
  </si>
  <si>
    <t>Þar af hlutdeildarskírteini verðbréfasjóða</t>
  </si>
  <si>
    <t>5) Ábyrgð á skuldbindingum A-deildar en sjóðurinn í heild flokkast með lífeyrissjóðum með ábyrgð annarra</t>
  </si>
  <si>
    <t>5) Ábyrgð á skuldbindingum A-deildar en sjóðurinn í heild flokkast með lífeyrissjóðum með ábyrgð annarra.</t>
  </si>
  <si>
    <r>
      <t xml:space="preserve">   </t>
    </r>
    <r>
      <rPr>
        <b/>
        <sz val="10"/>
        <rFont val="Times New Roman"/>
        <family val="1"/>
      </rPr>
      <t>Fyrirfr.gr.kostn.og áfallnar tekjur</t>
    </r>
  </si>
  <si>
    <r>
      <t xml:space="preserve">  </t>
    </r>
    <r>
      <rPr>
        <b/>
        <sz val="10"/>
        <rFont val="Times New Roman"/>
        <family val="1"/>
      </rPr>
      <t>Skuldbindingar</t>
    </r>
  </si>
  <si>
    <r>
      <t xml:space="preserve">   </t>
    </r>
    <r>
      <rPr>
        <b/>
        <sz val="10"/>
        <rFont val="Times New Roman"/>
        <family val="1"/>
      </rPr>
      <t>Viðskiptaskuldir</t>
    </r>
  </si>
  <si>
    <r>
      <t xml:space="preserve">SKULDIR SAMTALS    </t>
    </r>
    <r>
      <rPr>
        <i/>
        <sz val="10"/>
        <rFont val="Times New Roman"/>
        <family val="1"/>
      </rPr>
      <t xml:space="preserve">    </t>
    </r>
  </si>
  <si>
    <t>1997-2000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</si>
</sst>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,##0_);\(#,##0\)"/>
    <numFmt numFmtId="178" formatCode="0.0_)"/>
    <numFmt numFmtId="179" formatCode="0.0"/>
    <numFmt numFmtId="180" formatCode="0.0%"/>
    <numFmt numFmtId="181" formatCode="#,##0.0"/>
    <numFmt numFmtId="182" formatCode="0.000"/>
    <numFmt numFmtId="183" formatCode="#,##0.0;\-#,##0.0"/>
    <numFmt numFmtId="184" formatCode="0.000%"/>
    <numFmt numFmtId="185" formatCode="#,##0.0;[Red]\-#,##0.0"/>
    <numFmt numFmtId="186" formatCode="#,##0.000;[Red]\-#,##0.000"/>
    <numFmt numFmtId="187" formatCode="#,##0.000"/>
    <numFmt numFmtId="188" formatCode="#,##0.0000"/>
    <numFmt numFmtId="189" formatCode="#,##0\ &quot;kr.&quot;"/>
    <numFmt numFmtId="190" formatCode="00000"/>
    <numFmt numFmtId="191" formatCode="m/d"/>
    <numFmt numFmtId="192" formatCode="m/d/yy"/>
    <numFmt numFmtId="193" formatCode="#,##0.000;\-#,##0.000"/>
    <numFmt numFmtId="194" formatCode="#,##0.0000;\-#,##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</numFmts>
  <fonts count="59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9"/>
      <name val="Times New Roman"/>
      <family val="1"/>
    </font>
    <font>
      <sz val="8"/>
      <name val="Courier"/>
      <family val="0"/>
    </font>
    <font>
      <b/>
      <sz val="9"/>
      <name val="Times New Roman"/>
      <family val="1"/>
    </font>
    <font>
      <sz val="9"/>
      <name val="Courier"/>
      <family val="0"/>
    </font>
    <font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7.5"/>
      <name val="Times New Roman"/>
      <family val="1"/>
    </font>
    <font>
      <sz val="8"/>
      <name val="Arial"/>
      <family val="0"/>
    </font>
    <font>
      <b/>
      <i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6">
    <xf numFmtId="176" fontId="0" fillId="0" borderId="0" xfId="0" applyAlignment="1">
      <alignment/>
    </xf>
    <xf numFmtId="3" fontId="4" fillId="0" borderId="0" xfId="0" applyNumberFormat="1" applyFont="1" applyAlignment="1">
      <alignment/>
    </xf>
    <xf numFmtId="0" fontId="1" fillId="0" borderId="0" xfId="57" applyFont="1">
      <alignment/>
      <protection/>
    </xf>
    <xf numFmtId="0" fontId="1" fillId="0" borderId="0" xfId="57" applyFont="1" applyAlignment="1">
      <alignment horizontal="right"/>
      <protection/>
    </xf>
    <xf numFmtId="3" fontId="4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0" fontId="4" fillId="0" borderId="0" xfId="57" applyFont="1" applyAlignment="1">
      <alignment horizontal="right"/>
      <protection/>
    </xf>
    <xf numFmtId="176" fontId="4" fillId="33" borderId="0" xfId="0" applyFont="1" applyFill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177" fontId="4" fillId="33" borderId="0" xfId="0" applyNumberFormat="1" applyFont="1" applyFill="1" applyAlignment="1" applyProtection="1" quotePrefix="1">
      <alignment horizontal="right"/>
      <protection/>
    </xf>
    <xf numFmtId="0" fontId="5" fillId="0" borderId="0" xfId="57" applyFont="1">
      <alignment/>
      <protection/>
    </xf>
    <xf numFmtId="176" fontId="4" fillId="0" borderId="0" xfId="0" applyFont="1" applyAlignment="1">
      <alignment/>
    </xf>
    <xf numFmtId="176" fontId="6" fillId="0" borderId="0" xfId="0" applyFont="1" applyAlignment="1">
      <alignment/>
    </xf>
    <xf numFmtId="3" fontId="4" fillId="33" borderId="0" xfId="0" applyNumberFormat="1" applyFont="1" applyFill="1" applyAlignment="1" applyProtection="1">
      <alignment horizontal="center"/>
      <protection/>
    </xf>
    <xf numFmtId="3" fontId="1" fillId="0" borderId="0" xfId="57" applyNumberFormat="1" applyFont="1" applyAlignment="1" applyProtection="1">
      <alignment horizontal="right"/>
      <protection/>
    </xf>
    <xf numFmtId="0" fontId="1" fillId="0" borderId="0" xfId="57" applyFont="1" applyProtection="1">
      <alignment/>
      <protection/>
    </xf>
    <xf numFmtId="0" fontId="1" fillId="0" borderId="0" xfId="57" applyFont="1" applyAlignment="1" applyProtection="1">
      <alignment horizontal="center"/>
      <protection/>
    </xf>
    <xf numFmtId="3" fontId="1" fillId="0" borderId="0" xfId="57" applyNumberFormat="1" applyFont="1" applyAlignment="1" applyProtection="1" quotePrefix="1">
      <alignment horizontal="right"/>
      <protection/>
    </xf>
    <xf numFmtId="0" fontId="1" fillId="0" borderId="0" xfId="57" applyNumberFormat="1" applyFont="1" applyAlignment="1" applyProtection="1">
      <alignment horizontal="center"/>
      <protection/>
    </xf>
    <xf numFmtId="0" fontId="4" fillId="0" borderId="0" xfId="57" applyFont="1" applyAlignment="1" applyProtection="1">
      <alignment horizontal="right"/>
      <protection/>
    </xf>
    <xf numFmtId="176" fontId="4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 horizontal="left"/>
      <protection/>
    </xf>
    <xf numFmtId="3" fontId="1" fillId="0" borderId="0" xfId="57" applyNumberFormat="1" applyFont="1" applyAlignment="1">
      <alignment horizontal="right"/>
      <protection/>
    </xf>
    <xf numFmtId="0" fontId="1" fillId="0" borderId="0" xfId="57" applyFont="1" applyAlignment="1">
      <alignment horizontal="right"/>
      <protection/>
    </xf>
    <xf numFmtId="180" fontId="1" fillId="0" borderId="0" xfId="57" applyNumberFormat="1" applyFont="1" applyAlignment="1">
      <alignment horizontal="right"/>
      <protection/>
    </xf>
    <xf numFmtId="3" fontId="4" fillId="0" borderId="0" xfId="0" applyNumberFormat="1" applyFont="1" applyFill="1" applyAlignment="1" applyProtection="1">
      <alignment horizontal="left"/>
      <protection/>
    </xf>
    <xf numFmtId="0" fontId="4" fillId="0" borderId="0" xfId="57" applyFont="1" applyProtection="1">
      <alignment/>
      <protection/>
    </xf>
    <xf numFmtId="176" fontId="1" fillId="33" borderId="0" xfId="0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176" fontId="4" fillId="0" borderId="0" xfId="0" applyFont="1" applyFill="1" applyAlignment="1" applyProtection="1">
      <alignment/>
      <protection/>
    </xf>
    <xf numFmtId="3" fontId="7" fillId="0" borderId="0" xfId="0" applyNumberFormat="1" applyFont="1" applyAlignment="1" applyProtection="1">
      <alignment horizontal="left"/>
      <protection/>
    </xf>
    <xf numFmtId="176" fontId="8" fillId="0" borderId="0" xfId="0" applyFont="1" applyAlignment="1">
      <alignment/>
    </xf>
    <xf numFmtId="3" fontId="5" fillId="0" borderId="0" xfId="0" applyNumberFormat="1" applyFont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 horizontal="left"/>
      <protection/>
    </xf>
    <xf numFmtId="0" fontId="5" fillId="0" borderId="0" xfId="57" applyFont="1" applyFill="1" applyAlignment="1" applyProtection="1">
      <alignment horizontal="right"/>
      <protection/>
    </xf>
    <xf numFmtId="0" fontId="5" fillId="0" borderId="0" xfId="57" applyFont="1" applyAlignment="1" applyProtection="1">
      <alignment horizontal="right"/>
      <protection/>
    </xf>
    <xf numFmtId="0" fontId="5" fillId="0" borderId="0" xfId="57" applyFont="1" applyProtection="1">
      <alignment/>
      <protection/>
    </xf>
    <xf numFmtId="0" fontId="5" fillId="0" borderId="0" xfId="57" applyFont="1" applyAlignment="1">
      <alignment horizontal="right"/>
      <protection/>
    </xf>
    <xf numFmtId="0" fontId="5" fillId="0" borderId="0" xfId="57" applyFont="1">
      <alignment/>
      <protection/>
    </xf>
    <xf numFmtId="0" fontId="9" fillId="0" borderId="0" xfId="57" applyFont="1" applyFill="1" applyAlignment="1">
      <alignment horizontal="left"/>
      <protection/>
    </xf>
    <xf numFmtId="176" fontId="0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 horizontal="left"/>
      <protection/>
    </xf>
    <xf numFmtId="3" fontId="4" fillId="0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left"/>
      <protection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 horizontal="left"/>
      <protection/>
    </xf>
    <xf numFmtId="3" fontId="9" fillId="0" borderId="0" xfId="0" applyNumberFormat="1" applyFont="1" applyFill="1" applyAlignment="1" applyProtection="1">
      <alignment horizontal="left"/>
      <protection/>
    </xf>
    <xf numFmtId="3" fontId="9" fillId="0" borderId="0" xfId="0" applyNumberFormat="1" applyFont="1" applyAlignment="1" applyProtection="1">
      <alignment/>
      <protection/>
    </xf>
    <xf numFmtId="176" fontId="6" fillId="0" borderId="0" xfId="0" applyFont="1" applyAlignment="1" applyProtection="1">
      <alignment/>
      <protection/>
    </xf>
    <xf numFmtId="176" fontId="6" fillId="0" borderId="0" xfId="0" applyFont="1" applyFill="1" applyAlignment="1" applyProtection="1">
      <alignment/>
      <protection/>
    </xf>
    <xf numFmtId="176" fontId="9" fillId="0" borderId="0" xfId="0" applyFont="1" applyFill="1" applyAlignment="1" applyProtection="1">
      <alignment/>
      <protection/>
    </xf>
    <xf numFmtId="172" fontId="4" fillId="0" borderId="0" xfId="0" applyNumberFormat="1" applyFont="1" applyFill="1" applyAlignment="1" applyProtection="1">
      <alignment/>
      <protection/>
    </xf>
    <xf numFmtId="0" fontId="4" fillId="0" borderId="0" xfId="57" applyFont="1" applyAlignment="1" applyProtection="1">
      <alignment horizontal="right"/>
      <protection/>
    </xf>
    <xf numFmtId="0" fontId="4" fillId="0" borderId="0" xfId="57" applyFont="1" applyProtection="1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right"/>
      <protection/>
    </xf>
    <xf numFmtId="176" fontId="16" fillId="0" borderId="0" xfId="0" applyFont="1" applyAlignment="1">
      <alignment/>
    </xf>
    <xf numFmtId="176" fontId="1" fillId="0" borderId="0" xfId="0" applyFont="1" applyAlignment="1">
      <alignment horizontal="left"/>
    </xf>
    <xf numFmtId="3" fontId="17" fillId="0" borderId="0" xfId="0" applyNumberFormat="1" applyFont="1" applyAlignment="1" applyProtection="1">
      <alignment horizontal="left"/>
      <protection/>
    </xf>
    <xf numFmtId="0" fontId="18" fillId="0" borderId="0" xfId="57" applyFont="1" applyAlignment="1" applyProtection="1">
      <alignment horizontal="center"/>
      <protection/>
    </xf>
    <xf numFmtId="0" fontId="5" fillId="0" borderId="0" xfId="57" applyFont="1" applyAlignment="1" applyProtection="1">
      <alignment horizontal="right"/>
      <protection/>
    </xf>
    <xf numFmtId="0" fontId="5" fillId="0" borderId="0" xfId="57" applyFont="1" applyAlignment="1">
      <alignment horizontal="right"/>
      <protection/>
    </xf>
    <xf numFmtId="176" fontId="19" fillId="0" borderId="0" xfId="0" applyFont="1" applyAlignment="1">
      <alignment/>
    </xf>
    <xf numFmtId="181" fontId="20" fillId="0" borderId="0" xfId="0" applyNumberFormat="1" applyFont="1" applyFill="1" applyAlignment="1" applyProtection="1">
      <alignment/>
      <protection locked="0"/>
    </xf>
    <xf numFmtId="181" fontId="20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/>
    </xf>
    <xf numFmtId="3" fontId="1" fillId="33" borderId="0" xfId="0" applyNumberFormat="1" applyFont="1" applyFill="1" applyAlignment="1" applyProtection="1">
      <alignment horizontal="center"/>
      <protection/>
    </xf>
    <xf numFmtId="3" fontId="17" fillId="33" borderId="0" xfId="0" applyNumberFormat="1" applyFont="1" applyFill="1" applyAlignment="1" applyProtection="1">
      <alignment horizontal="center"/>
      <protection/>
    </xf>
    <xf numFmtId="172" fontId="1" fillId="33" borderId="0" xfId="0" applyNumberFormat="1" applyFont="1" applyFill="1" applyAlignment="1" applyProtection="1">
      <alignment horizontal="center"/>
      <protection/>
    </xf>
    <xf numFmtId="3" fontId="4" fillId="33" borderId="0" xfId="0" applyNumberFormat="1" applyFont="1" applyFill="1" applyAlignment="1" applyProtection="1">
      <alignment horizontal="left"/>
      <protection/>
    </xf>
    <xf numFmtId="3" fontId="9" fillId="33" borderId="0" xfId="0" applyNumberFormat="1" applyFont="1" applyFill="1" applyAlignment="1" applyProtection="1">
      <alignment horizontal="center"/>
      <protection/>
    </xf>
    <xf numFmtId="49" fontId="4" fillId="33" borderId="0" xfId="0" applyNumberFormat="1" applyFont="1" applyFill="1" applyAlignment="1" applyProtection="1">
      <alignment horizontal="center"/>
      <protection/>
    </xf>
    <xf numFmtId="172" fontId="4" fillId="33" borderId="0" xfId="0" applyNumberFormat="1" applyFont="1" applyFill="1" applyAlignment="1" applyProtection="1" quotePrefix="1">
      <alignment horizontal="center"/>
      <protection/>
    </xf>
    <xf numFmtId="172" fontId="9" fillId="33" borderId="0" xfId="0" applyNumberFormat="1" applyFont="1" applyFill="1" applyAlignment="1" applyProtection="1">
      <alignment horizontal="center"/>
      <protection/>
    </xf>
    <xf numFmtId="172" fontId="4" fillId="33" borderId="0" xfId="0" applyNumberFormat="1" applyFont="1" applyFill="1" applyAlignment="1" applyProtection="1">
      <alignment horizontal="center"/>
      <protection/>
    </xf>
    <xf numFmtId="3" fontId="1" fillId="33" borderId="0" xfId="0" applyNumberFormat="1" applyFont="1" applyFill="1" applyAlignment="1" applyProtection="1">
      <alignment horizontal="left"/>
      <protection/>
    </xf>
    <xf numFmtId="172" fontId="0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1" fillId="33" borderId="0" xfId="0" applyNumberFormat="1" applyFont="1" applyFill="1" applyAlignment="1" applyProtection="1">
      <alignment horizontal="left"/>
      <protection/>
    </xf>
    <xf numFmtId="181" fontId="4" fillId="0" borderId="0" xfId="0" applyNumberFormat="1" applyFont="1" applyAlignment="1">
      <alignment/>
    </xf>
    <xf numFmtId="3" fontId="1" fillId="0" borderId="0" xfId="0" applyNumberFormat="1" applyFont="1" applyFill="1" applyAlignment="1" applyProtection="1">
      <alignment horizontal="center"/>
      <protection/>
    </xf>
    <xf numFmtId="3" fontId="17" fillId="0" borderId="0" xfId="0" applyNumberFormat="1" applyFont="1" applyFill="1" applyAlignment="1" applyProtection="1">
      <alignment horizontal="center"/>
      <protection/>
    </xf>
    <xf numFmtId="172" fontId="1" fillId="0" borderId="0" xfId="0" applyNumberFormat="1" applyFont="1" applyFill="1" applyAlignment="1" applyProtection="1">
      <alignment horizontal="center"/>
      <protection/>
    </xf>
    <xf numFmtId="176" fontId="0" fillId="0" borderId="0" xfId="0" applyFont="1" applyFill="1" applyAlignment="1">
      <alignment/>
    </xf>
    <xf numFmtId="176" fontId="6" fillId="0" borderId="0" xfId="0" applyFont="1" applyFill="1" applyAlignment="1">
      <alignment/>
    </xf>
    <xf numFmtId="3" fontId="9" fillId="0" borderId="0" xfId="0" applyNumberFormat="1" applyFont="1" applyFill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center"/>
      <protection/>
    </xf>
    <xf numFmtId="172" fontId="4" fillId="0" borderId="0" xfId="0" applyNumberFormat="1" applyFont="1" applyFill="1" applyAlignment="1" applyProtection="1" quotePrefix="1">
      <alignment horizontal="center"/>
      <protection/>
    </xf>
    <xf numFmtId="172" fontId="9" fillId="0" borderId="0" xfId="0" applyNumberFormat="1" applyFont="1" applyFill="1" applyAlignment="1" applyProtection="1">
      <alignment horizontal="center"/>
      <protection/>
    </xf>
    <xf numFmtId="172" fontId="4" fillId="0" borderId="0" xfId="0" applyNumberFormat="1" applyFont="1" applyFill="1" applyAlignment="1" applyProtection="1">
      <alignment horizontal="center"/>
      <protection/>
    </xf>
    <xf numFmtId="3" fontId="1" fillId="0" borderId="0" xfId="0" applyNumberFormat="1" applyFont="1" applyFill="1" applyAlignment="1" applyProtection="1">
      <alignment horizontal="left"/>
      <protection/>
    </xf>
    <xf numFmtId="3" fontId="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72" fontId="0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left"/>
      <protection locked="0"/>
    </xf>
    <xf numFmtId="3" fontId="9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>
      <alignment horizontal="left"/>
      <protection/>
    </xf>
    <xf numFmtId="3" fontId="9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left"/>
      <protection/>
    </xf>
    <xf numFmtId="176" fontId="0" fillId="0" borderId="0" xfId="0" applyFont="1" applyFill="1" applyAlignment="1">
      <alignment/>
    </xf>
    <xf numFmtId="3" fontId="2" fillId="0" borderId="0" xfId="0" applyNumberFormat="1" applyFont="1" applyFill="1" applyAlignment="1" applyProtection="1">
      <alignment horizontal="right"/>
      <protection/>
    </xf>
    <xf numFmtId="3" fontId="1" fillId="0" borderId="0" xfId="0" applyNumberFormat="1" applyFont="1" applyFill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1" fillId="0" borderId="0" xfId="0" applyNumberFormat="1" applyFont="1" applyFill="1" applyAlignment="1" applyProtection="1">
      <alignment/>
      <protection/>
    </xf>
    <xf numFmtId="176" fontId="8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3" fontId="4" fillId="0" borderId="0" xfId="57" applyNumberFormat="1" applyFont="1" applyProtection="1">
      <alignment/>
      <protection/>
    </xf>
    <xf numFmtId="0" fontId="4" fillId="0" borderId="0" xfId="57" applyFont="1">
      <alignment/>
      <protection/>
    </xf>
    <xf numFmtId="3" fontId="4" fillId="0" borderId="0" xfId="57" applyNumberFormat="1" applyFont="1" applyAlignment="1" applyProtection="1">
      <alignment horizontal="right"/>
      <protection/>
    </xf>
    <xf numFmtId="0" fontId="4" fillId="0" borderId="0" xfId="57" applyFont="1" applyAlignment="1" applyProtection="1">
      <alignment horizontal="center"/>
      <protection/>
    </xf>
    <xf numFmtId="3" fontId="4" fillId="0" borderId="0" xfId="57" applyNumberFormat="1" applyFont="1">
      <alignment/>
      <protection/>
    </xf>
    <xf numFmtId="180" fontId="4" fillId="0" borderId="0" xfId="61" applyNumberFormat="1" applyFont="1" applyAlignment="1" applyProtection="1">
      <alignment/>
      <protection/>
    </xf>
    <xf numFmtId="3" fontId="4" fillId="0" borderId="0" xfId="57" applyNumberFormat="1" applyFont="1" applyAlignment="1">
      <alignment horizontal="right"/>
      <protection/>
    </xf>
    <xf numFmtId="180" fontId="4" fillId="0" borderId="0" xfId="57" applyNumberFormat="1" applyFont="1" applyAlignment="1">
      <alignment horizontal="center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10" xfId="57" applyNumberFormat="1" applyFont="1" applyBorder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180" fontId="4" fillId="0" borderId="10" xfId="61" applyNumberFormat="1" applyFont="1" applyBorder="1" applyAlignment="1" applyProtection="1">
      <alignment/>
      <protection/>
    </xf>
    <xf numFmtId="180" fontId="4" fillId="0" borderId="0" xfId="61" applyNumberFormat="1" applyFont="1" applyBorder="1" applyAlignment="1" applyProtection="1">
      <alignment/>
      <protection/>
    </xf>
    <xf numFmtId="180" fontId="4" fillId="0" borderId="0" xfId="57" applyNumberFormat="1" applyFont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/>
      <protection/>
    </xf>
    <xf numFmtId="176" fontId="0" fillId="0" borderId="0" xfId="0" applyFont="1" applyBorder="1" applyAlignment="1">
      <alignment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left"/>
      <protection/>
    </xf>
    <xf numFmtId="3" fontId="9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9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3" fontId="17" fillId="33" borderId="0" xfId="0" applyNumberFormat="1" applyFont="1" applyFill="1" applyAlignment="1" applyProtection="1">
      <alignment horizontal="center"/>
      <protection/>
    </xf>
    <xf numFmtId="3" fontId="9" fillId="33" borderId="0" xfId="0" applyNumberFormat="1" applyFont="1" applyFill="1" applyAlignment="1" applyProtection="1">
      <alignment horizontal="center"/>
      <protection/>
    </xf>
    <xf numFmtId="3" fontId="17" fillId="0" borderId="0" xfId="0" applyNumberFormat="1" applyFont="1" applyFill="1" applyAlignment="1" applyProtection="1">
      <alignment horizontal="center"/>
      <protection/>
    </xf>
    <xf numFmtId="3" fontId="9" fillId="0" borderId="0" xfId="0" applyNumberFormat="1" applyFont="1" applyFill="1" applyAlignment="1" applyProtection="1">
      <alignment horizontal="center"/>
      <protection/>
    </xf>
    <xf numFmtId="172" fontId="17" fillId="0" borderId="0" xfId="0" applyNumberFormat="1" applyFont="1" applyFill="1" applyAlignment="1" applyProtection="1">
      <alignment horizontal="center"/>
      <protection/>
    </xf>
    <xf numFmtId="172" fontId="1" fillId="33" borderId="0" xfId="0" applyNumberFormat="1" applyFont="1" applyFill="1" applyAlignment="1" applyProtection="1">
      <alignment horizontal="center"/>
      <protection locked="0"/>
    </xf>
    <xf numFmtId="172" fontId="4" fillId="33" borderId="0" xfId="0" applyNumberFormat="1" applyFont="1" applyFill="1" applyAlignment="1" applyProtection="1" quotePrefix="1">
      <alignment horizontal="center"/>
      <protection locked="0"/>
    </xf>
    <xf numFmtId="180" fontId="4" fillId="0" borderId="0" xfId="0" applyNumberFormat="1" applyFont="1" applyAlignment="1" applyProtection="1">
      <alignment/>
      <protection locked="0"/>
    </xf>
    <xf numFmtId="180" fontId="9" fillId="0" borderId="0" xfId="0" applyNumberFormat="1" applyFont="1" applyAlignment="1" applyProtection="1">
      <alignment/>
      <protection locked="0"/>
    </xf>
    <xf numFmtId="180" fontId="9" fillId="0" borderId="0" xfId="0" applyNumberFormat="1" applyFont="1" applyAlignment="1" applyProtection="1">
      <alignment horizontal="left" wrapText="1"/>
      <protection locked="0"/>
    </xf>
    <xf numFmtId="180" fontId="9" fillId="0" borderId="0" xfId="0" applyNumberFormat="1" applyFont="1" applyAlignment="1" applyProtection="1">
      <alignment wrapText="1"/>
      <protection locked="0"/>
    </xf>
    <xf numFmtId="180" fontId="22" fillId="0" borderId="0" xfId="0" applyNumberFormat="1" applyFont="1" applyAlignment="1" applyProtection="1">
      <alignment horizontal="left" wrapText="1"/>
      <protection locked="0"/>
    </xf>
    <xf numFmtId="180" fontId="9" fillId="0" borderId="0" xfId="0" applyNumberFormat="1" applyFont="1" applyAlignment="1" applyProtection="1">
      <alignment horizontal="right" wrapText="1"/>
      <protection locked="0"/>
    </xf>
    <xf numFmtId="180" fontId="9" fillId="0" borderId="0" xfId="0" applyNumberFormat="1" applyFont="1" applyAlignment="1" applyProtection="1">
      <alignment horizontal="right"/>
      <protection locked="0"/>
    </xf>
    <xf numFmtId="180" fontId="9" fillId="0" borderId="0" xfId="0" applyNumberFormat="1" applyFont="1" applyFill="1" applyAlignment="1" applyProtection="1">
      <alignment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180" fontId="4" fillId="0" borderId="0" xfId="0" applyNumberFormat="1" applyFont="1" applyFill="1" applyAlignment="1" applyProtection="1">
      <alignment/>
      <protection locked="0"/>
    </xf>
    <xf numFmtId="180" fontId="4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 locked="0"/>
    </xf>
    <xf numFmtId="10" fontId="4" fillId="33" borderId="0" xfId="0" applyNumberFormat="1" applyFont="1" applyFill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 locked="0"/>
    </xf>
    <xf numFmtId="181" fontId="9" fillId="0" borderId="0" xfId="0" applyNumberFormat="1" applyFont="1" applyAlignment="1" applyProtection="1">
      <alignment/>
      <protection locked="0"/>
    </xf>
    <xf numFmtId="181" fontId="4" fillId="0" borderId="0" xfId="0" applyNumberFormat="1" applyFont="1" applyFill="1" applyAlignment="1" applyProtection="1">
      <alignment/>
      <protection locked="0"/>
    </xf>
    <xf numFmtId="181" fontId="9" fillId="0" borderId="0" xfId="0" applyNumberFormat="1" applyFont="1" applyFill="1" applyAlignment="1" applyProtection="1">
      <alignment/>
      <protection locked="0"/>
    </xf>
    <xf numFmtId="181" fontId="4" fillId="0" borderId="0" xfId="0" applyNumberFormat="1" applyFont="1" applyFill="1" applyBorder="1" applyAlignment="1" applyProtection="1">
      <alignment/>
      <protection locked="0"/>
    </xf>
    <xf numFmtId="181" fontId="9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176" fontId="0" fillId="0" borderId="0" xfId="0" applyFont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180" fontId="4" fillId="0" borderId="0" xfId="61" applyNumberFormat="1" applyFont="1" applyAlignment="1" applyProtection="1">
      <alignment/>
      <protection locked="0"/>
    </xf>
    <xf numFmtId="180" fontId="9" fillId="0" borderId="0" xfId="61" applyNumberFormat="1" applyFont="1" applyAlignment="1" applyProtection="1">
      <alignment/>
      <protection locked="0"/>
    </xf>
    <xf numFmtId="180" fontId="4" fillId="0" borderId="0" xfId="61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 horizontal="left" wrapText="1"/>
      <protection/>
    </xf>
    <xf numFmtId="180" fontId="4" fillId="0" borderId="0" xfId="0" applyNumberFormat="1" applyFont="1" applyAlignment="1" applyProtection="1">
      <alignment wrapText="1"/>
      <protection locked="0"/>
    </xf>
    <xf numFmtId="180" fontId="4" fillId="0" borderId="0" xfId="0" applyNumberFormat="1" applyFont="1" applyFill="1" applyAlignment="1" applyProtection="1">
      <alignment wrapText="1"/>
      <protection locked="0"/>
    </xf>
    <xf numFmtId="180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Fill="1" applyAlignment="1" applyProtection="1">
      <alignment horizontal="right" wrapText="1"/>
      <protection locked="0"/>
    </xf>
    <xf numFmtId="176" fontId="0" fillId="0" borderId="0" xfId="0" applyFont="1" applyAlignment="1">
      <alignment/>
    </xf>
    <xf numFmtId="180" fontId="9" fillId="0" borderId="0" xfId="0" applyNumberFormat="1" applyFont="1" applyFill="1" applyAlignment="1" applyProtection="1">
      <alignment wrapText="1"/>
      <protection locked="0"/>
    </xf>
    <xf numFmtId="176" fontId="0" fillId="33" borderId="0" xfId="0" applyFont="1" applyFill="1" applyAlignment="1" applyProtection="1">
      <alignment/>
      <protection/>
    </xf>
    <xf numFmtId="181" fontId="9" fillId="0" borderId="0" xfId="0" applyNumberFormat="1" applyFont="1" applyFill="1" applyAlignment="1" applyProtection="1">
      <alignment horizontal="left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76" fontId="0" fillId="0" borderId="0" xfId="0" applyFont="1" applyAlignment="1">
      <alignment horizontal="left"/>
    </xf>
    <xf numFmtId="181" fontId="4" fillId="0" borderId="0" xfId="0" applyNumberFormat="1" applyFont="1" applyAlignment="1" applyProtection="1">
      <alignment horizontal="left"/>
      <protection locked="0"/>
    </xf>
    <xf numFmtId="176" fontId="0" fillId="33" borderId="0" xfId="0" applyFont="1" applyFill="1" applyAlignment="1" applyProtection="1">
      <alignment horizontal="left"/>
      <protection/>
    </xf>
    <xf numFmtId="180" fontId="9" fillId="0" borderId="0" xfId="61" applyNumberFormat="1" applyFont="1" applyAlignment="1" applyProtection="1">
      <alignment horizontal="left"/>
      <protection locked="0"/>
    </xf>
    <xf numFmtId="180" fontId="9" fillId="0" borderId="0" xfId="61" applyNumberFormat="1" applyFont="1" applyFill="1" applyAlignment="1" applyProtection="1">
      <alignment horizontal="left"/>
      <protection locked="0"/>
    </xf>
    <xf numFmtId="176" fontId="0" fillId="0" borderId="0" xfId="0" applyFont="1" applyFill="1" applyAlignment="1" applyProtection="1">
      <alignment/>
      <protection/>
    </xf>
    <xf numFmtId="9" fontId="4" fillId="0" borderId="0" xfId="61" applyFont="1" applyFill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 horizontal="center"/>
      <protection/>
    </xf>
    <xf numFmtId="176" fontId="4" fillId="0" borderId="0" xfId="0" applyFont="1" applyFill="1" applyBorder="1" applyAlignment="1">
      <alignment horizontal="left"/>
    </xf>
    <xf numFmtId="172" fontId="1" fillId="0" borderId="0" xfId="0" applyNumberFormat="1" applyFont="1" applyFill="1" applyAlignment="1" applyProtection="1" quotePrefix="1">
      <alignment horizontal="center"/>
      <protection/>
    </xf>
    <xf numFmtId="176" fontId="4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4" fillId="0" borderId="0" xfId="58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/>
    </xf>
    <xf numFmtId="176" fontId="4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/>
    </xf>
    <xf numFmtId="3" fontId="23" fillId="0" borderId="0" xfId="58" applyNumberFormat="1" applyFont="1" applyFill="1" applyBorder="1" applyAlignment="1">
      <alignment horizontal="left"/>
      <protection/>
    </xf>
    <xf numFmtId="172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0" fontId="4" fillId="0" borderId="0" xfId="0" applyNumberFormat="1" applyFont="1" applyFill="1" applyAlignment="1" applyProtection="1">
      <alignment/>
      <protection locked="0"/>
    </xf>
    <xf numFmtId="3" fontId="23" fillId="0" borderId="0" xfId="58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23" fillId="0" borderId="12" xfId="58" applyNumberFormat="1" applyFont="1" applyFill="1" applyBorder="1" applyAlignment="1">
      <alignment horizontal="right" wrapText="1"/>
      <protection/>
    </xf>
    <xf numFmtId="3" fontId="23" fillId="0" borderId="13" xfId="58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Alignment="1">
      <alignment/>
    </xf>
    <xf numFmtId="172" fontId="1" fillId="0" borderId="0" xfId="0" applyNumberFormat="1" applyFont="1" applyFill="1" applyAlignment="1" applyProtection="1">
      <alignment/>
      <protection/>
    </xf>
    <xf numFmtId="172" fontId="4" fillId="0" borderId="0" xfId="0" applyNumberFormat="1" applyFont="1" applyFill="1" applyAlignment="1" applyProtection="1">
      <alignment horizontal="left"/>
      <protection/>
    </xf>
    <xf numFmtId="172" fontId="4" fillId="0" borderId="0" xfId="0" applyNumberFormat="1" applyFont="1" applyFill="1" applyAlignment="1" applyProtection="1">
      <alignment/>
      <protection/>
    </xf>
    <xf numFmtId="172" fontId="1" fillId="0" borderId="0" xfId="0" applyNumberFormat="1" applyFont="1" applyFill="1" applyAlignment="1" applyProtection="1">
      <alignment horizontal="left"/>
      <protection/>
    </xf>
    <xf numFmtId="172" fontId="1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3" fontId="17" fillId="0" borderId="0" xfId="0" applyNumberFormat="1" applyFont="1" applyFill="1" applyAlignment="1" applyProtection="1">
      <alignment horizontal="left"/>
      <protection/>
    </xf>
    <xf numFmtId="3" fontId="24" fillId="0" borderId="0" xfId="0" applyNumberFormat="1" applyFont="1" applyFill="1" applyAlignment="1" applyProtection="1">
      <alignment horizontal="left"/>
      <protection/>
    </xf>
    <xf numFmtId="176" fontId="0" fillId="0" borderId="0" xfId="0" applyFont="1" applyFill="1" applyAlignment="1">
      <alignment/>
    </xf>
    <xf numFmtId="3" fontId="24" fillId="0" borderId="0" xfId="0" applyNumberFormat="1" applyFont="1" applyFill="1" applyAlignment="1" applyProtection="1">
      <alignment horizontal="right"/>
      <protection/>
    </xf>
    <xf numFmtId="10" fontId="4" fillId="0" borderId="0" xfId="0" applyNumberFormat="1" applyFont="1" applyFill="1" applyAlignment="1" applyProtection="1">
      <alignment horizontal="left"/>
      <protection/>
    </xf>
    <xf numFmtId="172" fontId="1" fillId="0" borderId="0" xfId="0" applyNumberFormat="1" applyFont="1" applyFill="1" applyAlignment="1" applyProtection="1">
      <alignment horizontal="center"/>
      <protection locked="0"/>
    </xf>
    <xf numFmtId="172" fontId="4" fillId="0" borderId="0" xfId="0" applyNumberFormat="1" applyFont="1" applyFill="1" applyAlignment="1" applyProtection="1" quotePrefix="1">
      <alignment horizontal="right"/>
      <protection locked="0"/>
    </xf>
    <xf numFmtId="180" fontId="4" fillId="0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LS81.XL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875" style="12" customWidth="1"/>
    <col min="2" max="2" width="36.00390625" style="12" customWidth="1"/>
    <col min="3" max="3" width="4.75390625" style="12" customWidth="1"/>
    <col min="4" max="16384" width="9.00390625" style="12" customWidth="1"/>
  </cols>
  <sheetData>
    <row r="1" ht="15">
      <c r="A1" s="61" t="s">
        <v>486</v>
      </c>
    </row>
    <row r="2" ht="12.75" customHeight="1">
      <c r="B2" s="61"/>
    </row>
    <row r="3" ht="12.75" customHeight="1">
      <c r="C3" s="62" t="s">
        <v>462</v>
      </c>
    </row>
    <row r="4" ht="12.75" customHeight="1">
      <c r="C4" s="62" t="s">
        <v>463</v>
      </c>
    </row>
    <row r="5" spans="2:3" ht="11.25" customHeight="1">
      <c r="B5" s="58" t="s">
        <v>177</v>
      </c>
      <c r="C5" s="57">
        <v>19</v>
      </c>
    </row>
    <row r="6" spans="2:3" ht="11.25" customHeight="1">
      <c r="B6" s="58" t="s">
        <v>181</v>
      </c>
      <c r="C6" s="57">
        <v>38</v>
      </c>
    </row>
    <row r="7" spans="2:3" ht="11.25" customHeight="1">
      <c r="B7" s="59" t="s">
        <v>305</v>
      </c>
      <c r="C7" s="57">
        <v>41</v>
      </c>
    </row>
    <row r="8" spans="2:3" ht="11.25" customHeight="1">
      <c r="B8" s="58" t="s">
        <v>175</v>
      </c>
      <c r="C8" s="57">
        <v>33</v>
      </c>
    </row>
    <row r="9" spans="2:3" ht="11.25" customHeight="1">
      <c r="B9" s="58" t="s">
        <v>302</v>
      </c>
      <c r="C9" s="57">
        <v>22</v>
      </c>
    </row>
    <row r="10" spans="2:3" ht="11.25" customHeight="1">
      <c r="B10" s="59" t="s">
        <v>299</v>
      </c>
      <c r="C10" s="60">
        <v>48</v>
      </c>
    </row>
    <row r="11" spans="2:3" ht="11.25" customHeight="1">
      <c r="B11" s="59" t="s">
        <v>186</v>
      </c>
      <c r="C11" s="60">
        <v>46</v>
      </c>
    </row>
    <row r="12" spans="2:3" ht="11.25" customHeight="1">
      <c r="B12" s="59" t="s">
        <v>193</v>
      </c>
      <c r="C12" s="57">
        <v>53</v>
      </c>
    </row>
    <row r="13" spans="2:3" ht="11.25" customHeight="1">
      <c r="B13" s="59" t="s">
        <v>188</v>
      </c>
      <c r="C13" s="57">
        <v>47</v>
      </c>
    </row>
    <row r="14" spans="2:3" ht="11.25" customHeight="1">
      <c r="B14" s="58" t="s">
        <v>170</v>
      </c>
      <c r="C14" s="57">
        <v>18</v>
      </c>
    </row>
    <row r="15" spans="2:3" ht="11.25" customHeight="1">
      <c r="B15" s="58" t="s">
        <v>189</v>
      </c>
      <c r="C15" s="57">
        <v>27</v>
      </c>
    </row>
    <row r="16" spans="2:3" ht="11.25" customHeight="1">
      <c r="B16" s="59" t="s">
        <v>306</v>
      </c>
      <c r="C16" s="57">
        <v>49</v>
      </c>
    </row>
    <row r="17" spans="2:3" ht="11.25" customHeight="1">
      <c r="B17" s="59" t="s">
        <v>187</v>
      </c>
      <c r="C17" s="57">
        <v>45</v>
      </c>
    </row>
    <row r="18" spans="2:3" ht="11.25" customHeight="1">
      <c r="B18" s="58" t="s">
        <v>316</v>
      </c>
      <c r="C18" s="57">
        <v>25</v>
      </c>
    </row>
    <row r="19" spans="2:3" ht="11.25" customHeight="1">
      <c r="B19" s="58" t="s">
        <v>165</v>
      </c>
      <c r="C19" s="57">
        <v>11</v>
      </c>
    </row>
    <row r="20" spans="2:3" ht="11.25" customHeight="1">
      <c r="B20" s="58" t="s">
        <v>312</v>
      </c>
      <c r="C20" s="57">
        <v>8</v>
      </c>
    </row>
    <row r="21" spans="2:3" ht="11.25" customHeight="1">
      <c r="B21" s="58" t="s">
        <v>179</v>
      </c>
      <c r="C21" s="57">
        <v>35</v>
      </c>
    </row>
    <row r="22" spans="2:3" ht="11.25" customHeight="1">
      <c r="B22" s="58" t="s">
        <v>164</v>
      </c>
      <c r="C22" s="57">
        <v>14</v>
      </c>
    </row>
    <row r="23" spans="2:3" ht="11.25" customHeight="1">
      <c r="B23" s="58" t="s">
        <v>174</v>
      </c>
      <c r="C23" s="57">
        <v>32</v>
      </c>
    </row>
    <row r="24" spans="2:3" ht="11.25" customHeight="1">
      <c r="B24" s="58" t="s">
        <v>178</v>
      </c>
      <c r="C24" s="57">
        <v>34</v>
      </c>
    </row>
    <row r="25" spans="2:3" ht="11.25" customHeight="1">
      <c r="B25" s="58" t="s">
        <v>204</v>
      </c>
      <c r="C25" s="57">
        <v>20</v>
      </c>
    </row>
    <row r="26" spans="2:3" ht="11.25" customHeight="1">
      <c r="B26" s="58" t="s">
        <v>171</v>
      </c>
      <c r="C26" s="57">
        <v>30</v>
      </c>
    </row>
    <row r="27" spans="2:3" ht="11.25" customHeight="1">
      <c r="B27" s="58" t="s">
        <v>168</v>
      </c>
      <c r="C27" s="57">
        <v>13</v>
      </c>
    </row>
    <row r="28" spans="2:3" ht="11.25" customHeight="1">
      <c r="B28" s="59" t="s">
        <v>326</v>
      </c>
      <c r="C28" s="60">
        <v>42</v>
      </c>
    </row>
    <row r="29" spans="2:3" ht="11.25" customHeight="1">
      <c r="B29" s="59" t="s">
        <v>194</v>
      </c>
      <c r="C29" s="60">
        <v>52</v>
      </c>
    </row>
    <row r="30" spans="2:3" ht="11.25" customHeight="1">
      <c r="B30" s="58" t="s">
        <v>162</v>
      </c>
      <c r="C30" s="57">
        <v>6</v>
      </c>
    </row>
    <row r="31" spans="2:3" ht="11.25" customHeight="1">
      <c r="B31" s="58" t="s">
        <v>180</v>
      </c>
      <c r="C31" s="57">
        <v>36</v>
      </c>
    </row>
    <row r="32" spans="2:3" ht="11.25" customHeight="1">
      <c r="B32" s="58" t="s">
        <v>157</v>
      </c>
      <c r="C32" s="57">
        <v>5</v>
      </c>
    </row>
    <row r="33" spans="2:3" ht="11.25" customHeight="1">
      <c r="B33" s="59" t="s">
        <v>184</v>
      </c>
      <c r="C33" s="60">
        <v>44</v>
      </c>
    </row>
    <row r="34" spans="2:3" ht="11.25" customHeight="1">
      <c r="B34" s="58" t="s">
        <v>325</v>
      </c>
      <c r="C34" s="57">
        <v>24</v>
      </c>
    </row>
    <row r="35" spans="2:3" ht="11.25" customHeight="1">
      <c r="B35" s="58" t="s">
        <v>183</v>
      </c>
      <c r="C35" s="57">
        <v>39</v>
      </c>
    </row>
    <row r="36" spans="2:3" ht="11.25" customHeight="1">
      <c r="B36" s="59" t="s">
        <v>197</v>
      </c>
      <c r="C36" s="60">
        <v>56</v>
      </c>
    </row>
    <row r="37" spans="2:3" ht="11.25" customHeight="1">
      <c r="B37" s="59" t="s">
        <v>196</v>
      </c>
      <c r="C37" s="57">
        <v>55</v>
      </c>
    </row>
    <row r="38" spans="2:3" ht="11.25" customHeight="1">
      <c r="B38" s="59" t="s">
        <v>192</v>
      </c>
      <c r="C38" s="57">
        <v>51</v>
      </c>
    </row>
    <row r="39" spans="2:3" ht="11.25" customHeight="1">
      <c r="B39" s="58" t="s">
        <v>173</v>
      </c>
      <c r="C39" s="57">
        <v>31</v>
      </c>
    </row>
    <row r="40" spans="2:3" ht="11.25" customHeight="1">
      <c r="B40" s="58" t="s">
        <v>362</v>
      </c>
      <c r="C40" s="57">
        <v>2</v>
      </c>
    </row>
    <row r="41" spans="2:3" ht="11.25" customHeight="1">
      <c r="B41" s="59" t="s">
        <v>317</v>
      </c>
      <c r="C41" s="57">
        <v>37</v>
      </c>
    </row>
    <row r="42" spans="2:3" ht="11.25" customHeight="1">
      <c r="B42" s="58" t="s">
        <v>319</v>
      </c>
      <c r="C42" s="57">
        <v>26</v>
      </c>
    </row>
    <row r="43" spans="2:3" ht="11.25" customHeight="1">
      <c r="B43" s="58" t="s">
        <v>167</v>
      </c>
      <c r="C43" s="57">
        <v>15</v>
      </c>
    </row>
    <row r="44" spans="2:3" ht="11.25" customHeight="1">
      <c r="B44" s="59" t="s">
        <v>185</v>
      </c>
      <c r="C44" s="57">
        <v>43</v>
      </c>
    </row>
    <row r="45" spans="2:3" ht="11.25" customHeight="1">
      <c r="B45" s="58" t="s">
        <v>172</v>
      </c>
      <c r="C45" s="57">
        <v>28</v>
      </c>
    </row>
    <row r="46" spans="2:3" ht="11.25" customHeight="1">
      <c r="B46" s="58" t="s">
        <v>320</v>
      </c>
      <c r="C46" s="57">
        <v>16</v>
      </c>
    </row>
    <row r="47" spans="2:3" ht="11.25" customHeight="1">
      <c r="B47" s="58" t="s">
        <v>156</v>
      </c>
      <c r="C47" s="57">
        <v>1</v>
      </c>
    </row>
    <row r="48" spans="2:3" ht="11.25" customHeight="1">
      <c r="B48" s="58" t="s">
        <v>166</v>
      </c>
      <c r="C48" s="57">
        <v>12</v>
      </c>
    </row>
    <row r="49" spans="2:3" ht="11.25" customHeight="1">
      <c r="B49" s="58" t="s">
        <v>301</v>
      </c>
      <c r="C49" s="57">
        <v>17</v>
      </c>
    </row>
    <row r="50" spans="2:3" ht="11.25" customHeight="1">
      <c r="B50" s="58" t="s">
        <v>169</v>
      </c>
      <c r="C50" s="57">
        <v>21</v>
      </c>
    </row>
    <row r="51" spans="2:3" ht="11.25" customHeight="1">
      <c r="B51" s="58" t="s">
        <v>191</v>
      </c>
      <c r="C51" s="57">
        <v>23</v>
      </c>
    </row>
    <row r="52" spans="2:3" ht="11.25" customHeight="1">
      <c r="B52" s="58" t="s">
        <v>202</v>
      </c>
      <c r="C52" s="57">
        <v>3</v>
      </c>
    </row>
    <row r="53" spans="2:3" ht="11.25" customHeight="1">
      <c r="B53" s="58" t="s">
        <v>176</v>
      </c>
      <c r="C53" s="57">
        <v>29</v>
      </c>
    </row>
    <row r="54" spans="2:3" ht="11.25" customHeight="1">
      <c r="B54" s="58" t="s">
        <v>277</v>
      </c>
      <c r="C54" s="57">
        <v>9</v>
      </c>
    </row>
    <row r="55" spans="2:3" ht="11.25" customHeight="1">
      <c r="B55" s="59" t="s">
        <v>190</v>
      </c>
      <c r="C55" s="60">
        <v>50</v>
      </c>
    </row>
    <row r="56" spans="2:3" ht="11.25" customHeight="1">
      <c r="B56" s="58" t="s">
        <v>159</v>
      </c>
      <c r="C56" s="57">
        <v>4</v>
      </c>
    </row>
    <row r="57" spans="2:3" ht="11.25" customHeight="1">
      <c r="B57" s="58" t="s">
        <v>163</v>
      </c>
      <c r="C57" s="57">
        <v>10</v>
      </c>
    </row>
    <row r="58" spans="2:3" ht="11.25" customHeight="1">
      <c r="B58" s="59" t="s">
        <v>278</v>
      </c>
      <c r="C58" s="60">
        <v>40</v>
      </c>
    </row>
    <row r="59" spans="2:3" ht="11.25" customHeight="1">
      <c r="B59" s="58" t="s">
        <v>161</v>
      </c>
      <c r="C59" s="57">
        <v>7</v>
      </c>
    </row>
    <row r="60" spans="2:3" ht="11.25" customHeight="1">
      <c r="B60" s="59" t="s">
        <v>195</v>
      </c>
      <c r="C60" s="60">
        <v>54</v>
      </c>
    </row>
  </sheetData>
  <sheetProtection/>
  <printOptions/>
  <pageMargins left="0.7480314960629921" right="0.7480314960629921" top="0.6692913385826772" bottom="0" header="0.2362204724409449" footer="0.2362204724409449"/>
  <pageSetup firstPageNumber="6" useFirstPageNumber="1" horizontalDpi="600" verticalDpi="600" orientation="portrait" paperSize="9" r:id="rId1"/>
  <headerFooter alignWithMargins="0">
    <oddHeader>&amp;C&amp;"Times New Roman,Bold"&amp;14 2.1. YFIRLIT YFIR LÍFEYRISSJÓÐI Í STAFRÓFSRÖÐ</oddHeader>
    <oddFooter>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BH103"/>
  <sheetViews>
    <sheetView zoomScalePageLayoutView="0" workbookViewId="0" topLeftCell="A35">
      <selection activeCell="C48" sqref="C48"/>
    </sheetView>
  </sheetViews>
  <sheetFormatPr defaultColWidth="9.00390625" defaultRowHeight="12.75"/>
  <cols>
    <col min="1" max="1" width="2.875" style="7" customWidth="1"/>
    <col min="2" max="2" width="3.125" style="7" customWidth="1"/>
    <col min="3" max="3" width="33.00390625" style="115" customWidth="1"/>
    <col min="4" max="4" width="5.125" style="66" customWidth="1"/>
    <col min="5" max="5" width="9.625" style="118" customWidth="1"/>
    <col min="6" max="6" width="4.375" style="115" customWidth="1"/>
    <col min="7" max="7" width="9.625" style="118" customWidth="1"/>
    <col min="8" max="8" width="5.50390625" style="115" customWidth="1"/>
    <col min="9" max="9" width="7.375" style="115" customWidth="1"/>
    <col min="10" max="11" width="0" style="115" hidden="1" customWidth="1"/>
    <col min="12" max="16384" width="9.00390625" style="115" customWidth="1"/>
  </cols>
  <sheetData>
    <row r="1" spans="1:9" ht="12.75">
      <c r="A1" s="20"/>
      <c r="B1" s="20"/>
      <c r="C1" s="28"/>
      <c r="D1" s="64"/>
      <c r="E1" s="114"/>
      <c r="F1" s="28"/>
      <c r="G1" s="114"/>
      <c r="H1" s="28"/>
      <c r="I1" s="28"/>
    </row>
    <row r="2" spans="1:9" ht="12.75">
      <c r="A2" s="20"/>
      <c r="B2" s="20"/>
      <c r="C2" s="28"/>
      <c r="D2" s="64"/>
      <c r="E2" s="15" t="s">
        <v>377</v>
      </c>
      <c r="F2" s="16"/>
      <c r="G2" s="15" t="s">
        <v>377</v>
      </c>
      <c r="H2" s="16"/>
      <c r="I2" s="17" t="s">
        <v>153</v>
      </c>
    </row>
    <row r="3" spans="1:9" ht="13.5" customHeight="1">
      <c r="A3" s="20"/>
      <c r="B3" s="20"/>
      <c r="C3" s="28"/>
      <c r="D3" s="65"/>
      <c r="E3" s="18" t="s">
        <v>409</v>
      </c>
      <c r="F3" s="16"/>
      <c r="G3" s="18" t="s">
        <v>327</v>
      </c>
      <c r="H3" s="16"/>
      <c r="I3" s="19" t="s">
        <v>461</v>
      </c>
    </row>
    <row r="4" spans="1:9" ht="13.5" customHeight="1">
      <c r="A4" s="20"/>
      <c r="B4" s="20"/>
      <c r="C4" s="28"/>
      <c r="D4" s="65"/>
      <c r="E4" s="116" t="s">
        <v>154</v>
      </c>
      <c r="F4" s="117"/>
      <c r="G4" s="116" t="s">
        <v>154</v>
      </c>
      <c r="H4" s="117"/>
      <c r="I4" s="117" t="s">
        <v>155</v>
      </c>
    </row>
    <row r="5" spans="1:9" ht="9" customHeight="1">
      <c r="A5" s="20"/>
      <c r="B5" s="20"/>
      <c r="C5" s="28"/>
      <c r="D5" s="65"/>
      <c r="H5" s="28"/>
      <c r="I5" s="28"/>
    </row>
    <row r="6" spans="1:13" ht="13.5" customHeight="1">
      <c r="A6" s="20">
        <v>1</v>
      </c>
      <c r="B6" s="20"/>
      <c r="C6" s="28" t="s">
        <v>156</v>
      </c>
      <c r="D6" s="65" t="s">
        <v>475</v>
      </c>
      <c r="E6" s="9">
        <v>85686756.101</v>
      </c>
      <c r="F6" s="42"/>
      <c r="G6" s="9">
        <f>75604040.748+1570586+3616</f>
        <v>77178242.748</v>
      </c>
      <c r="H6" s="9"/>
      <c r="I6" s="119">
        <f>(E6/G6)-1</f>
        <v>0.11024497384297449</v>
      </c>
      <c r="M6" s="9"/>
    </row>
    <row r="7" spans="1:16" ht="13.5" customHeight="1">
      <c r="A7" s="20">
        <v>2</v>
      </c>
      <c r="B7" s="20"/>
      <c r="C7" s="28" t="s">
        <v>362</v>
      </c>
      <c r="D7" s="65" t="s">
        <v>158</v>
      </c>
      <c r="E7" s="9">
        <v>76087894</v>
      </c>
      <c r="F7" s="42"/>
      <c r="G7" s="9">
        <v>61105843.680999994</v>
      </c>
      <c r="H7" s="9"/>
      <c r="I7" s="119">
        <f aca="true" t="shared" si="0" ref="I7:I43">(E7/G7)-1</f>
        <v>0.24518195669162268</v>
      </c>
      <c r="M7" s="9"/>
      <c r="N7" s="9"/>
      <c r="O7" s="9"/>
      <c r="P7" s="9"/>
    </row>
    <row r="8" spans="1:9" ht="13.5" customHeight="1">
      <c r="A8" s="20">
        <v>3</v>
      </c>
      <c r="B8" s="20"/>
      <c r="C8" s="28" t="s">
        <v>202</v>
      </c>
      <c r="D8" s="65"/>
      <c r="E8" s="9">
        <v>48084459.601</v>
      </c>
      <c r="F8" s="42"/>
      <c r="G8" s="9">
        <v>45578662.67</v>
      </c>
      <c r="H8" s="9"/>
      <c r="I8" s="119">
        <f t="shared" si="0"/>
        <v>0.054977412328715</v>
      </c>
    </row>
    <row r="9" spans="1:9" ht="13.5" customHeight="1">
      <c r="A9" s="20">
        <v>4</v>
      </c>
      <c r="B9" s="20"/>
      <c r="C9" s="28" t="s">
        <v>159</v>
      </c>
      <c r="D9" s="65"/>
      <c r="E9" s="9">
        <v>42083353.865</v>
      </c>
      <c r="F9" s="42"/>
      <c r="G9" s="9">
        <v>39546394.131</v>
      </c>
      <c r="H9" s="9"/>
      <c r="I9" s="119">
        <f t="shared" si="0"/>
        <v>0.06415148055208686</v>
      </c>
    </row>
    <row r="10" spans="1:9" ht="13.5" customHeight="1">
      <c r="A10" s="20">
        <v>5</v>
      </c>
      <c r="B10" s="20"/>
      <c r="C10" s="28" t="s">
        <v>157</v>
      </c>
      <c r="D10" s="65"/>
      <c r="E10" s="9">
        <v>41161795.553</v>
      </c>
      <c r="F10" s="42"/>
      <c r="G10" s="9">
        <v>38938962.862</v>
      </c>
      <c r="H10" s="9"/>
      <c r="I10" s="119">
        <f t="shared" si="0"/>
        <v>0.05708505126029517</v>
      </c>
    </row>
    <row r="11" spans="1:9" ht="13.5" customHeight="1">
      <c r="A11" s="20">
        <v>6</v>
      </c>
      <c r="B11" s="20"/>
      <c r="C11" s="28" t="s">
        <v>162</v>
      </c>
      <c r="D11" s="65"/>
      <c r="E11" s="9">
        <v>19504233.303000003</v>
      </c>
      <c r="F11" s="42"/>
      <c r="G11" s="9">
        <v>18733051.8</v>
      </c>
      <c r="H11" s="9"/>
      <c r="I11" s="119">
        <f t="shared" si="0"/>
        <v>0.0411668910775127</v>
      </c>
    </row>
    <row r="12" spans="1:9" ht="13.5" customHeight="1">
      <c r="A12" s="20">
        <v>7</v>
      </c>
      <c r="B12" s="20"/>
      <c r="C12" s="28" t="s">
        <v>161</v>
      </c>
      <c r="D12" s="65" t="s">
        <v>475</v>
      </c>
      <c r="E12" s="9">
        <v>19242728.761</v>
      </c>
      <c r="F12" s="42"/>
      <c r="G12" s="9">
        <v>17269921.972</v>
      </c>
      <c r="H12" s="9"/>
      <c r="I12" s="119">
        <f t="shared" si="0"/>
        <v>0.11423368282720348</v>
      </c>
    </row>
    <row r="13" spans="1:9" ht="13.5" customHeight="1">
      <c r="A13" s="20">
        <v>8</v>
      </c>
      <c r="B13" s="20"/>
      <c r="C13" s="28" t="s">
        <v>312</v>
      </c>
      <c r="D13" s="65"/>
      <c r="E13" s="118">
        <v>17598639.455000002</v>
      </c>
      <c r="F13" s="42"/>
      <c r="G13" s="9">
        <v>17152927.465</v>
      </c>
      <c r="H13" s="9"/>
      <c r="I13" s="119">
        <f t="shared" si="0"/>
        <v>0.025984601806861463</v>
      </c>
    </row>
    <row r="14" spans="1:9" ht="13.5" customHeight="1">
      <c r="A14" s="20">
        <v>9</v>
      </c>
      <c r="B14" s="20"/>
      <c r="C14" s="28" t="s">
        <v>277</v>
      </c>
      <c r="D14" s="65"/>
      <c r="E14" s="118">
        <v>16277232.524999999</v>
      </c>
      <c r="F14" s="42"/>
      <c r="G14" s="9">
        <v>14543967.708</v>
      </c>
      <c r="H14" s="9"/>
      <c r="I14" s="119">
        <f t="shared" si="0"/>
        <v>0.11917413815809041</v>
      </c>
    </row>
    <row r="15" spans="1:9" ht="13.5" customHeight="1">
      <c r="A15" s="20">
        <v>10</v>
      </c>
      <c r="B15" s="20"/>
      <c r="C15" s="28" t="s">
        <v>163</v>
      </c>
      <c r="D15" s="65"/>
      <c r="E15" s="118">
        <v>15604177.187999995</v>
      </c>
      <c r="F15" s="42"/>
      <c r="G15" s="9">
        <v>14568854.772</v>
      </c>
      <c r="H15" s="9"/>
      <c r="I15" s="119">
        <f t="shared" si="0"/>
        <v>0.07106409063736363</v>
      </c>
    </row>
    <row r="16" spans="1:9" ht="13.5" customHeight="1">
      <c r="A16" s="20">
        <v>11</v>
      </c>
      <c r="B16" s="20"/>
      <c r="C16" s="28" t="s">
        <v>165</v>
      </c>
      <c r="D16" s="65"/>
      <c r="E16" s="118">
        <v>13854583.112</v>
      </c>
      <c r="F16" s="42"/>
      <c r="G16" s="9">
        <v>13468985.357</v>
      </c>
      <c r="H16" s="9"/>
      <c r="I16" s="119">
        <f t="shared" si="0"/>
        <v>0.028628567392390725</v>
      </c>
    </row>
    <row r="17" spans="1:9" ht="13.5" customHeight="1">
      <c r="A17" s="20">
        <v>12</v>
      </c>
      <c r="B17" s="20"/>
      <c r="C17" s="28" t="s">
        <v>166</v>
      </c>
      <c r="D17" s="65"/>
      <c r="E17" s="118">
        <v>12238127.661999999</v>
      </c>
      <c r="F17" s="42"/>
      <c r="G17" s="9">
        <v>12158485.009</v>
      </c>
      <c r="H17" s="9"/>
      <c r="I17" s="119">
        <f t="shared" si="0"/>
        <v>0.0065503763783929525</v>
      </c>
    </row>
    <row r="18" spans="1:9" ht="13.5" customHeight="1">
      <c r="A18" s="20">
        <v>13</v>
      </c>
      <c r="B18" s="20"/>
      <c r="C18" s="28" t="s">
        <v>168</v>
      </c>
      <c r="D18" s="65"/>
      <c r="E18" s="118">
        <v>11742474</v>
      </c>
      <c r="F18" s="42"/>
      <c r="G18" s="9">
        <v>11378547.701</v>
      </c>
      <c r="H18" s="9"/>
      <c r="I18" s="119">
        <f t="shared" si="0"/>
        <v>0.03198354557743932</v>
      </c>
    </row>
    <row r="19" spans="1:9" ht="13.5" customHeight="1">
      <c r="A19" s="20">
        <v>14</v>
      </c>
      <c r="B19" s="20"/>
      <c r="C19" s="28" t="s">
        <v>164</v>
      </c>
      <c r="D19" s="65"/>
      <c r="E19" s="118">
        <v>11518068.324</v>
      </c>
      <c r="F19" s="42"/>
      <c r="G19" s="9">
        <v>11379958.215</v>
      </c>
      <c r="H19" s="9"/>
      <c r="I19" s="119">
        <f t="shared" si="0"/>
        <v>0.01213625800646212</v>
      </c>
    </row>
    <row r="20" spans="1:9" ht="13.5" customHeight="1">
      <c r="A20" s="20">
        <v>15</v>
      </c>
      <c r="B20" s="20"/>
      <c r="C20" s="28" t="s">
        <v>167</v>
      </c>
      <c r="D20" s="65" t="s">
        <v>475</v>
      </c>
      <c r="E20" s="118">
        <v>11013505.986999996</v>
      </c>
      <c r="F20" s="42"/>
      <c r="G20" s="9">
        <v>10656111.394</v>
      </c>
      <c r="H20" s="9"/>
      <c r="I20" s="119">
        <f t="shared" si="0"/>
        <v>0.03353893177216882</v>
      </c>
    </row>
    <row r="21" spans="1:9" ht="13.5" customHeight="1">
      <c r="A21" s="20">
        <v>16</v>
      </c>
      <c r="B21" s="20"/>
      <c r="C21" s="28" t="s">
        <v>320</v>
      </c>
      <c r="D21" s="65"/>
      <c r="E21" s="118">
        <v>10643354.852</v>
      </c>
      <c r="F21" s="42"/>
      <c r="G21" s="9">
        <v>10308089.395</v>
      </c>
      <c r="H21" s="9"/>
      <c r="I21" s="119">
        <f t="shared" si="0"/>
        <v>0.03252450033685417</v>
      </c>
    </row>
    <row r="22" spans="1:9" ht="13.5" customHeight="1">
      <c r="A22" s="20">
        <v>17</v>
      </c>
      <c r="B22" s="20"/>
      <c r="C22" s="28" t="s">
        <v>301</v>
      </c>
      <c r="D22" s="65"/>
      <c r="E22" s="118">
        <v>10045948.616</v>
      </c>
      <c r="F22" s="42"/>
      <c r="G22" s="9">
        <v>9454707.752</v>
      </c>
      <c r="H22" s="9"/>
      <c r="I22" s="119">
        <f t="shared" si="0"/>
        <v>0.06253401792085356</v>
      </c>
    </row>
    <row r="23" spans="1:9" ht="13.5" customHeight="1">
      <c r="A23" s="20">
        <v>18</v>
      </c>
      <c r="B23" s="20"/>
      <c r="C23" s="28" t="s">
        <v>170</v>
      </c>
      <c r="D23" s="65"/>
      <c r="E23" s="118">
        <v>8862556.575999998</v>
      </c>
      <c r="F23" s="42"/>
      <c r="G23" s="9">
        <v>7464141.726</v>
      </c>
      <c r="H23" s="9"/>
      <c r="I23" s="119">
        <f t="shared" si="0"/>
        <v>0.18735105807662666</v>
      </c>
    </row>
    <row r="24" spans="1:9" ht="13.5" customHeight="1">
      <c r="A24" s="20">
        <v>19</v>
      </c>
      <c r="B24" s="20"/>
      <c r="C24" s="28" t="s">
        <v>177</v>
      </c>
      <c r="D24" s="65"/>
      <c r="E24" s="118">
        <v>8503536.481</v>
      </c>
      <c r="F24" s="42"/>
      <c r="G24" s="9">
        <v>6617626.916</v>
      </c>
      <c r="H24" s="9"/>
      <c r="I24" s="119">
        <f t="shared" si="0"/>
        <v>0.28498275725400535</v>
      </c>
    </row>
    <row r="25" spans="1:9" ht="13.5" customHeight="1">
      <c r="A25" s="20">
        <v>20</v>
      </c>
      <c r="B25" s="20"/>
      <c r="C25" s="28" t="s">
        <v>204</v>
      </c>
      <c r="D25" s="65" t="s">
        <v>158</v>
      </c>
      <c r="E25" s="118">
        <v>7504773.403999999</v>
      </c>
      <c r="F25" s="42"/>
      <c r="G25" s="9">
        <v>6319783.056</v>
      </c>
      <c r="H25" s="9"/>
      <c r="I25" s="119">
        <f t="shared" si="0"/>
        <v>0.18750490918750295</v>
      </c>
    </row>
    <row r="26" spans="1:9" ht="13.5" customHeight="1">
      <c r="A26" s="20">
        <v>21</v>
      </c>
      <c r="B26" s="20"/>
      <c r="C26" s="28" t="s">
        <v>169</v>
      </c>
      <c r="D26" s="65"/>
      <c r="E26" s="118">
        <v>7189223.631000001</v>
      </c>
      <c r="F26" s="42"/>
      <c r="G26" s="9">
        <v>6900107.050999999</v>
      </c>
      <c r="H26" s="9"/>
      <c r="I26" s="119">
        <f t="shared" si="0"/>
        <v>0.04190030355516039</v>
      </c>
    </row>
    <row r="27" spans="1:9" ht="13.5" customHeight="1">
      <c r="A27" s="20">
        <v>22</v>
      </c>
      <c r="B27" s="20"/>
      <c r="C27" s="28" t="s">
        <v>302</v>
      </c>
      <c r="D27" s="65"/>
      <c r="E27" s="118">
        <v>6772942.002</v>
      </c>
      <c r="F27" s="42"/>
      <c r="G27" s="9">
        <v>6153905.3100000005</v>
      </c>
      <c r="H27" s="9"/>
      <c r="I27" s="119">
        <f t="shared" si="0"/>
        <v>0.10059249546691507</v>
      </c>
    </row>
    <row r="28" spans="1:9" ht="13.5" customHeight="1">
      <c r="A28" s="20">
        <v>23</v>
      </c>
      <c r="B28" s="20"/>
      <c r="C28" s="28" t="s">
        <v>191</v>
      </c>
      <c r="D28" s="65"/>
      <c r="E28" s="118">
        <v>6457411</v>
      </c>
      <c r="F28" s="42"/>
      <c r="G28" s="9">
        <v>5440357</v>
      </c>
      <c r="H28" s="9"/>
      <c r="I28" s="119">
        <f t="shared" si="0"/>
        <v>0.18694618753879566</v>
      </c>
    </row>
    <row r="29" spans="1:9" ht="13.5" customHeight="1">
      <c r="A29" s="20">
        <v>24</v>
      </c>
      <c r="B29" s="20"/>
      <c r="C29" s="28" t="s">
        <v>325</v>
      </c>
      <c r="D29" s="65"/>
      <c r="E29" s="118">
        <v>6070779.312</v>
      </c>
      <c r="F29" s="42"/>
      <c r="G29" s="9">
        <v>5978913.729</v>
      </c>
      <c r="H29" s="9"/>
      <c r="I29" s="119">
        <f t="shared" si="0"/>
        <v>0.015364928674989287</v>
      </c>
    </row>
    <row r="30" spans="1:9" ht="13.5" customHeight="1">
      <c r="A30" s="20">
        <v>25</v>
      </c>
      <c r="B30" s="20"/>
      <c r="C30" s="28" t="s">
        <v>316</v>
      </c>
      <c r="D30" s="65"/>
      <c r="E30" s="118">
        <v>5557691.871</v>
      </c>
      <c r="F30" s="42"/>
      <c r="G30" s="9">
        <v>5096100.049</v>
      </c>
      <c r="H30" s="9"/>
      <c r="I30" s="119">
        <f t="shared" si="0"/>
        <v>0.09057746464192329</v>
      </c>
    </row>
    <row r="31" spans="1:9" ht="13.5" customHeight="1">
      <c r="A31" s="20">
        <v>26</v>
      </c>
      <c r="B31" s="20"/>
      <c r="C31" s="28" t="s">
        <v>319</v>
      </c>
      <c r="D31" s="65"/>
      <c r="E31" s="118">
        <v>5212573.93</v>
      </c>
      <c r="F31" s="42"/>
      <c r="G31" s="9">
        <v>4935652.306</v>
      </c>
      <c r="H31" s="9"/>
      <c r="I31" s="119">
        <f t="shared" si="0"/>
        <v>0.05610638813908375</v>
      </c>
    </row>
    <row r="32" spans="1:9" ht="13.5" customHeight="1">
      <c r="A32" s="20">
        <v>27</v>
      </c>
      <c r="B32" s="20"/>
      <c r="C32" s="28" t="s">
        <v>189</v>
      </c>
      <c r="D32" s="65"/>
      <c r="E32" s="118">
        <v>4023612.5909999995</v>
      </c>
      <c r="F32" s="42"/>
      <c r="G32" s="9">
        <v>3322550.51</v>
      </c>
      <c r="H32" s="9"/>
      <c r="I32" s="119">
        <f t="shared" si="0"/>
        <v>0.2110011808368264</v>
      </c>
    </row>
    <row r="33" spans="1:9" ht="13.5" customHeight="1">
      <c r="A33" s="20">
        <v>28</v>
      </c>
      <c r="B33" s="20"/>
      <c r="C33" s="28" t="s">
        <v>172</v>
      </c>
      <c r="D33" s="65"/>
      <c r="E33" s="118">
        <v>3291736.781</v>
      </c>
      <c r="F33" s="42"/>
      <c r="G33" s="9">
        <v>3029798.1110000005</v>
      </c>
      <c r="H33" s="9"/>
      <c r="I33" s="119">
        <f t="shared" si="0"/>
        <v>0.08645416638455328</v>
      </c>
    </row>
    <row r="34" spans="1:9" ht="13.5" customHeight="1">
      <c r="A34" s="20">
        <v>29</v>
      </c>
      <c r="B34" s="20"/>
      <c r="C34" s="28" t="s">
        <v>176</v>
      </c>
      <c r="D34" s="65"/>
      <c r="E34" s="118">
        <v>3214727.503</v>
      </c>
      <c r="F34" s="42"/>
      <c r="G34" s="9">
        <v>2873725.847</v>
      </c>
      <c r="H34" s="9"/>
      <c r="I34" s="119">
        <f t="shared" si="0"/>
        <v>0.11866186064895001</v>
      </c>
    </row>
    <row r="35" spans="1:9" ht="13.5" customHeight="1">
      <c r="A35" s="20">
        <v>30</v>
      </c>
      <c r="B35" s="20"/>
      <c r="C35" s="28" t="s">
        <v>171</v>
      </c>
      <c r="D35" s="65"/>
      <c r="E35" s="118">
        <v>3100530.392</v>
      </c>
      <c r="F35" s="42"/>
      <c r="G35" s="9">
        <f>2843557.577</f>
        <v>2843557.577</v>
      </c>
      <c r="H35" s="9"/>
      <c r="I35" s="119">
        <f t="shared" si="0"/>
        <v>0.09037018173238831</v>
      </c>
    </row>
    <row r="36" spans="1:9" ht="13.5" customHeight="1">
      <c r="A36" s="20">
        <v>31</v>
      </c>
      <c r="B36" s="20"/>
      <c r="C36" s="28" t="s">
        <v>173</v>
      </c>
      <c r="D36" s="65" t="s">
        <v>158</v>
      </c>
      <c r="E36" s="118">
        <v>3006691.239</v>
      </c>
      <c r="F36" s="42"/>
      <c r="G36" s="9">
        <v>3004878.7060000002</v>
      </c>
      <c r="H36" s="9"/>
      <c r="I36" s="119">
        <f t="shared" si="0"/>
        <v>0.0006031967268365079</v>
      </c>
    </row>
    <row r="37" spans="1:9" ht="13.5" customHeight="1">
      <c r="A37" s="20">
        <v>32</v>
      </c>
      <c r="B37" s="20"/>
      <c r="C37" s="28" t="s">
        <v>174</v>
      </c>
      <c r="D37" s="65" t="s">
        <v>485</v>
      </c>
      <c r="E37" s="118">
        <v>2521492.9269999997</v>
      </c>
      <c r="F37" s="42"/>
      <c r="G37" s="9">
        <v>2734930.638</v>
      </c>
      <c r="H37" s="9"/>
      <c r="I37" s="119">
        <f t="shared" si="0"/>
        <v>-0.0780413616471396</v>
      </c>
    </row>
    <row r="38" spans="1:9" ht="13.5" customHeight="1">
      <c r="A38" s="20">
        <v>33</v>
      </c>
      <c r="B38" s="20"/>
      <c r="C38" s="28" t="s">
        <v>175</v>
      </c>
      <c r="D38" s="65" t="s">
        <v>158</v>
      </c>
      <c r="E38" s="118">
        <v>2370870.444</v>
      </c>
      <c r="F38" s="42"/>
      <c r="G38" s="9">
        <v>2533834.194</v>
      </c>
      <c r="H38" s="9"/>
      <c r="I38" s="119">
        <f t="shared" si="0"/>
        <v>-0.06431508043655365</v>
      </c>
    </row>
    <row r="39" spans="1:9" ht="13.5" customHeight="1">
      <c r="A39" s="20">
        <v>34</v>
      </c>
      <c r="B39" s="20"/>
      <c r="C39" s="28" t="s">
        <v>178</v>
      </c>
      <c r="D39" s="65" t="s">
        <v>160</v>
      </c>
      <c r="E39" s="118">
        <v>1993433.8839999998</v>
      </c>
      <c r="F39" s="42"/>
      <c r="G39" s="9">
        <v>1941745.286</v>
      </c>
      <c r="H39" s="9"/>
      <c r="I39" s="119">
        <f t="shared" si="0"/>
        <v>0.026619659320238798</v>
      </c>
    </row>
    <row r="40" spans="1:9" ht="13.5" customHeight="1">
      <c r="A40" s="20">
        <v>35</v>
      </c>
      <c r="B40" s="20"/>
      <c r="C40" s="28" t="s">
        <v>179</v>
      </c>
      <c r="D40" s="65"/>
      <c r="E40" s="118">
        <v>1977470.53</v>
      </c>
      <c r="F40" s="42"/>
      <c r="G40" s="9">
        <v>1969065.521</v>
      </c>
      <c r="H40" s="9"/>
      <c r="I40" s="119">
        <f t="shared" si="0"/>
        <v>0.004268526826741503</v>
      </c>
    </row>
    <row r="41" spans="1:9" ht="13.5" customHeight="1">
      <c r="A41" s="20">
        <v>36</v>
      </c>
      <c r="B41" s="20"/>
      <c r="C41" s="28" t="s">
        <v>180</v>
      </c>
      <c r="D41" s="65"/>
      <c r="E41" s="118">
        <v>1875175.0809999998</v>
      </c>
      <c r="F41" s="42"/>
      <c r="G41" s="9">
        <v>1645907.111</v>
      </c>
      <c r="H41" s="9"/>
      <c r="I41" s="119">
        <f t="shared" si="0"/>
        <v>0.13929581351690246</v>
      </c>
    </row>
    <row r="42" spans="1:9" ht="13.5" customHeight="1">
      <c r="A42" s="20">
        <v>37</v>
      </c>
      <c r="B42" s="20"/>
      <c r="C42" s="115" t="s">
        <v>317</v>
      </c>
      <c r="D42" s="66" t="s">
        <v>478</v>
      </c>
      <c r="E42" s="118">
        <v>1483263.403</v>
      </c>
      <c r="F42" s="9"/>
      <c r="G42" s="9">
        <v>575842.6259999999</v>
      </c>
      <c r="H42" s="9"/>
      <c r="I42" s="119">
        <f>(E42/G42)-1</f>
        <v>1.5758138352890882</v>
      </c>
    </row>
    <row r="43" spans="1:9" ht="13.5" customHeight="1">
      <c r="A43" s="20">
        <v>38</v>
      </c>
      <c r="B43" s="20"/>
      <c r="C43" s="28" t="s">
        <v>181</v>
      </c>
      <c r="D43" s="65" t="s">
        <v>160</v>
      </c>
      <c r="E43" s="118">
        <v>1438769.44</v>
      </c>
      <c r="F43" s="42"/>
      <c r="G43" s="9">
        <v>1508002.205</v>
      </c>
      <c r="H43" s="9"/>
      <c r="I43" s="119">
        <f t="shared" si="0"/>
        <v>-0.04591025448799002</v>
      </c>
    </row>
    <row r="44" spans="1:9" ht="13.5" customHeight="1">
      <c r="A44" s="20"/>
      <c r="B44" s="20"/>
      <c r="C44" s="28"/>
      <c r="D44" s="65"/>
      <c r="F44" s="42"/>
      <c r="G44" s="9"/>
      <c r="H44" s="9"/>
      <c r="I44" s="119"/>
    </row>
    <row r="45" spans="1:9" ht="13.5" customHeight="1">
      <c r="A45" s="20"/>
      <c r="B45" s="20"/>
      <c r="C45" s="28"/>
      <c r="D45" s="65"/>
      <c r="F45" s="42"/>
      <c r="G45" s="9"/>
      <c r="H45" s="9"/>
      <c r="I45" s="119"/>
    </row>
    <row r="46" spans="1:9" ht="13.5" customHeight="1">
      <c r="A46" s="20"/>
      <c r="B46" s="20"/>
      <c r="C46" s="28"/>
      <c r="D46" s="65"/>
      <c r="F46" s="42"/>
      <c r="G46" s="9"/>
      <c r="H46" s="9"/>
      <c r="I46" s="119"/>
    </row>
    <row r="47" spans="1:9" ht="13.5" customHeight="1">
      <c r="A47" s="20"/>
      <c r="B47" s="20"/>
      <c r="C47" s="28"/>
      <c r="D47" s="65"/>
      <c r="F47" s="42"/>
      <c r="G47" s="9"/>
      <c r="H47" s="9"/>
      <c r="I47" s="119"/>
    </row>
    <row r="49" ht="12.75">
      <c r="A49" s="20"/>
    </row>
    <row r="50" ht="12.75">
      <c r="C50" s="2" t="s">
        <v>182</v>
      </c>
    </row>
    <row r="51" ht="12.75">
      <c r="C51" s="11" t="s">
        <v>476</v>
      </c>
    </row>
    <row r="52" ht="12.75">
      <c r="C52" s="11" t="s">
        <v>477</v>
      </c>
    </row>
    <row r="53" ht="12.75">
      <c r="C53" s="11" t="s">
        <v>488</v>
      </c>
    </row>
    <row r="54" ht="12.75">
      <c r="C54" s="11" t="s">
        <v>496</v>
      </c>
    </row>
    <row r="58" spans="5:9" ht="13.5" customHeight="1">
      <c r="E58" s="15" t="s">
        <v>377</v>
      </c>
      <c r="F58" s="25"/>
      <c r="G58" s="24" t="s">
        <v>376</v>
      </c>
      <c r="H58" s="25"/>
      <c r="I58" s="26" t="s">
        <v>153</v>
      </c>
    </row>
    <row r="59" spans="3:9" ht="13.5" customHeight="1">
      <c r="C59" s="115" t="s">
        <v>135</v>
      </c>
      <c r="E59" s="18" t="s">
        <v>409</v>
      </c>
      <c r="F59" s="25"/>
      <c r="G59" s="24" t="s">
        <v>327</v>
      </c>
      <c r="H59" s="25"/>
      <c r="I59" s="26" t="s">
        <v>461</v>
      </c>
    </row>
    <row r="60" spans="5:9" ht="13.5" customHeight="1">
      <c r="E60" s="116" t="s">
        <v>154</v>
      </c>
      <c r="F60" s="7"/>
      <c r="G60" s="120" t="s">
        <v>154</v>
      </c>
      <c r="H60" s="7"/>
      <c r="I60" s="121" t="s">
        <v>155</v>
      </c>
    </row>
    <row r="61" spans="1:9" ht="9" customHeight="1">
      <c r="A61" s="20"/>
      <c r="B61" s="20"/>
      <c r="C61" s="28"/>
      <c r="D61" s="65"/>
      <c r="H61" s="28"/>
      <c r="I61" s="28"/>
    </row>
    <row r="62" spans="1:9" ht="13.5" customHeight="1">
      <c r="A62" s="20">
        <v>39</v>
      </c>
      <c r="B62" s="20"/>
      <c r="C62" s="28" t="s">
        <v>183</v>
      </c>
      <c r="D62" s="65" t="s">
        <v>158</v>
      </c>
      <c r="E62" s="118">
        <v>1349221.5779999997</v>
      </c>
      <c r="F62" s="42"/>
      <c r="G62" s="9">
        <v>1254878.1639999999</v>
      </c>
      <c r="H62" s="9"/>
      <c r="I62" s="119">
        <f>(E62/G62)-1</f>
        <v>0.07518133369957969</v>
      </c>
    </row>
    <row r="63" spans="1:9" ht="13.5" customHeight="1">
      <c r="A63" s="7">
        <v>40</v>
      </c>
      <c r="B63" s="20"/>
      <c r="C63" s="115" t="s">
        <v>278</v>
      </c>
      <c r="E63" s="118">
        <v>1310949.2810000002</v>
      </c>
      <c r="F63" s="9"/>
      <c r="G63" s="9">
        <v>1033815.554</v>
      </c>
      <c r="H63" s="9"/>
      <c r="I63" s="119">
        <f aca="true" t="shared" si="1" ref="I63:I79">(E63/G63)-1</f>
        <v>0.2680688309705972</v>
      </c>
    </row>
    <row r="64" spans="1:9" ht="13.5" customHeight="1">
      <c r="A64" s="20">
        <v>41</v>
      </c>
      <c r="B64" s="20"/>
      <c r="C64" s="115" t="s">
        <v>305</v>
      </c>
      <c r="D64" s="66" t="s">
        <v>158</v>
      </c>
      <c r="E64" s="118">
        <v>1251769.76</v>
      </c>
      <c r="F64" s="9"/>
      <c r="G64" s="9">
        <v>1144350.632</v>
      </c>
      <c r="H64" s="9"/>
      <c r="I64" s="119">
        <f t="shared" si="1"/>
        <v>0.09386906861952093</v>
      </c>
    </row>
    <row r="65" spans="1:9" ht="13.5" customHeight="1">
      <c r="A65" s="7">
        <v>42</v>
      </c>
      <c r="B65" s="20"/>
      <c r="C65" s="115" t="s">
        <v>326</v>
      </c>
      <c r="D65" s="66" t="s">
        <v>160</v>
      </c>
      <c r="E65" s="118">
        <v>1185731.7540000002</v>
      </c>
      <c r="F65" s="9"/>
      <c r="G65" s="9">
        <v>1158585.3490000002</v>
      </c>
      <c r="H65" s="9"/>
      <c r="I65" s="119">
        <f t="shared" si="1"/>
        <v>0.023430647576745844</v>
      </c>
    </row>
    <row r="66" spans="1:9" ht="13.5" customHeight="1">
      <c r="A66" s="20">
        <v>43</v>
      </c>
      <c r="B66" s="20"/>
      <c r="C66" s="115" t="s">
        <v>185</v>
      </c>
      <c r="E66" s="118">
        <v>1068011.868</v>
      </c>
      <c r="F66" s="9"/>
      <c r="G66" s="9">
        <v>1071768.286</v>
      </c>
      <c r="H66" s="9"/>
      <c r="I66" s="119">
        <f t="shared" si="1"/>
        <v>-0.003504878852144011</v>
      </c>
    </row>
    <row r="67" spans="1:9" ht="13.5" customHeight="1">
      <c r="A67" s="7">
        <v>44</v>
      </c>
      <c r="B67" s="20"/>
      <c r="C67" s="115" t="s">
        <v>184</v>
      </c>
      <c r="D67" s="66" t="s">
        <v>158</v>
      </c>
      <c r="E67" s="118">
        <v>1057372.815</v>
      </c>
      <c r="F67" s="9"/>
      <c r="G67" s="9">
        <v>986069.7</v>
      </c>
      <c r="H67" s="9"/>
      <c r="I67" s="119">
        <f t="shared" si="1"/>
        <v>0.07231042085564532</v>
      </c>
    </row>
    <row r="68" spans="1:9" ht="13.5" customHeight="1">
      <c r="A68" s="20">
        <v>45</v>
      </c>
      <c r="B68" s="20"/>
      <c r="C68" s="115" t="s">
        <v>187</v>
      </c>
      <c r="D68" s="66" t="s">
        <v>158</v>
      </c>
      <c r="E68" s="118">
        <v>766054.3920000001</v>
      </c>
      <c r="F68" s="9"/>
      <c r="G68" s="9">
        <v>712937.021</v>
      </c>
      <c r="H68" s="9"/>
      <c r="I68" s="119">
        <f t="shared" si="1"/>
        <v>0.07450499754591955</v>
      </c>
    </row>
    <row r="69" spans="1:9" ht="13.5" customHeight="1">
      <c r="A69" s="7">
        <v>46</v>
      </c>
      <c r="B69" s="20"/>
      <c r="C69" s="115" t="s">
        <v>186</v>
      </c>
      <c r="D69" s="66" t="s">
        <v>160</v>
      </c>
      <c r="E69" s="118">
        <v>637155.9360000001</v>
      </c>
      <c r="F69" s="9"/>
      <c r="G69" s="9">
        <v>663861.958</v>
      </c>
      <c r="H69" s="9"/>
      <c r="I69" s="119">
        <f t="shared" si="1"/>
        <v>-0.04022827589105482</v>
      </c>
    </row>
    <row r="70" spans="1:9" ht="13.5" customHeight="1">
      <c r="A70" s="20">
        <v>47</v>
      </c>
      <c r="B70" s="20"/>
      <c r="C70" s="115" t="s">
        <v>188</v>
      </c>
      <c r="D70" s="66" t="s">
        <v>160</v>
      </c>
      <c r="E70" s="118">
        <v>581733.557</v>
      </c>
      <c r="F70" s="9"/>
      <c r="G70" s="9">
        <v>573198.334</v>
      </c>
      <c r="H70" s="9"/>
      <c r="I70" s="119">
        <f t="shared" si="1"/>
        <v>0.014890523041890091</v>
      </c>
    </row>
    <row r="71" spans="1:9" ht="13.5" customHeight="1">
      <c r="A71" s="7">
        <v>48</v>
      </c>
      <c r="B71" s="20"/>
      <c r="C71" s="115" t="s">
        <v>299</v>
      </c>
      <c r="D71" s="66" t="s">
        <v>158</v>
      </c>
      <c r="E71" s="118">
        <v>467591.85500000004</v>
      </c>
      <c r="F71" s="9"/>
      <c r="G71" s="9">
        <v>448140.628</v>
      </c>
      <c r="H71" s="9"/>
      <c r="I71" s="119">
        <f t="shared" si="1"/>
        <v>0.043404292725720106</v>
      </c>
    </row>
    <row r="72" spans="1:9" ht="13.5" customHeight="1">
      <c r="A72" s="20">
        <v>49</v>
      </c>
      <c r="B72" s="20"/>
      <c r="C72" s="115" t="s">
        <v>306</v>
      </c>
      <c r="D72" s="66" t="s">
        <v>160</v>
      </c>
      <c r="E72" s="118">
        <v>447038.21</v>
      </c>
      <c r="F72" s="9"/>
      <c r="G72" s="9">
        <v>460896.326</v>
      </c>
      <c r="H72" s="9"/>
      <c r="I72" s="119">
        <f t="shared" si="1"/>
        <v>-0.03006775107163684</v>
      </c>
    </row>
    <row r="73" spans="1:9" ht="13.5" customHeight="1">
      <c r="A73" s="7">
        <v>50</v>
      </c>
      <c r="B73" s="20"/>
      <c r="C73" s="115" t="s">
        <v>190</v>
      </c>
      <c r="D73" s="66" t="s">
        <v>160</v>
      </c>
      <c r="E73" s="118">
        <v>417759.473</v>
      </c>
      <c r="F73" s="9"/>
      <c r="G73" s="9">
        <v>404826.634</v>
      </c>
      <c r="H73" s="9"/>
      <c r="I73" s="119">
        <f t="shared" si="1"/>
        <v>0.03194661100287188</v>
      </c>
    </row>
    <row r="74" spans="1:9" ht="13.5" customHeight="1">
      <c r="A74" s="20">
        <v>51</v>
      </c>
      <c r="B74" s="20"/>
      <c r="C74" s="115" t="s">
        <v>192</v>
      </c>
      <c r="D74" s="66" t="s">
        <v>158</v>
      </c>
      <c r="E74" s="118">
        <v>287199.532</v>
      </c>
      <c r="F74" s="9"/>
      <c r="G74" s="9">
        <v>271325.78</v>
      </c>
      <c r="H74" s="9"/>
      <c r="I74" s="119">
        <f t="shared" si="1"/>
        <v>0.0585044001347752</v>
      </c>
    </row>
    <row r="75" spans="1:9" ht="13.5" customHeight="1">
      <c r="A75" s="7">
        <v>52</v>
      </c>
      <c r="B75" s="20"/>
      <c r="C75" s="115" t="s">
        <v>194</v>
      </c>
      <c r="D75" s="66" t="s">
        <v>158</v>
      </c>
      <c r="E75" s="118">
        <v>165173.83800000002</v>
      </c>
      <c r="F75" s="9"/>
      <c r="G75" s="9">
        <v>163389.986</v>
      </c>
      <c r="H75" s="9"/>
      <c r="I75" s="119">
        <f t="shared" si="1"/>
        <v>0.010917756000052625</v>
      </c>
    </row>
    <row r="76" spans="1:9" ht="13.5" customHeight="1">
      <c r="A76" s="20">
        <v>53</v>
      </c>
      <c r="B76" s="20"/>
      <c r="C76" s="115" t="s">
        <v>193</v>
      </c>
      <c r="D76" s="66" t="s">
        <v>348</v>
      </c>
      <c r="E76" s="118">
        <v>109293.43900000001</v>
      </c>
      <c r="F76" s="9"/>
      <c r="G76" s="9">
        <v>134524.91599999997</v>
      </c>
      <c r="H76" s="9"/>
      <c r="I76" s="119">
        <f t="shared" si="1"/>
        <v>-0.18755987924199824</v>
      </c>
    </row>
    <row r="77" spans="1:9" ht="13.5" customHeight="1">
      <c r="A77" s="7">
        <v>54</v>
      </c>
      <c r="B77" s="20"/>
      <c r="C77" s="115" t="s">
        <v>195</v>
      </c>
      <c r="D77" s="66" t="s">
        <v>160</v>
      </c>
      <c r="E77" s="118">
        <v>84170.347</v>
      </c>
      <c r="F77" s="122"/>
      <c r="G77" s="122">
        <v>106532.07900000001</v>
      </c>
      <c r="H77" s="122"/>
      <c r="I77" s="119">
        <f t="shared" si="1"/>
        <v>-0.20990608847500303</v>
      </c>
    </row>
    <row r="78" spans="1:9" ht="13.5" customHeight="1">
      <c r="A78" s="20">
        <v>55</v>
      </c>
      <c r="B78" s="20"/>
      <c r="C78" s="115" t="s">
        <v>196</v>
      </c>
      <c r="D78" s="66" t="s">
        <v>158</v>
      </c>
      <c r="E78" s="118">
        <v>76119.492</v>
      </c>
      <c r="F78" s="9"/>
      <c r="G78" s="9">
        <v>88750.40299999999</v>
      </c>
      <c r="H78" s="9"/>
      <c r="I78" s="119">
        <f t="shared" si="1"/>
        <v>-0.14231947769296316</v>
      </c>
    </row>
    <row r="79" spans="1:9" ht="13.5" customHeight="1">
      <c r="A79" s="7">
        <v>56</v>
      </c>
      <c r="B79" s="20"/>
      <c r="C79" s="115" t="s">
        <v>197</v>
      </c>
      <c r="D79" s="66" t="s">
        <v>160</v>
      </c>
      <c r="E79" s="123">
        <v>8910.2</v>
      </c>
      <c r="F79" s="124"/>
      <c r="G79" s="124">
        <v>10213.533000000001</v>
      </c>
      <c r="H79" s="124"/>
      <c r="I79" s="125">
        <f t="shared" si="1"/>
        <v>-0.12760843872536565</v>
      </c>
    </row>
    <row r="80" spans="1:9" ht="15.75" customHeight="1">
      <c r="A80" s="115"/>
      <c r="B80" s="20"/>
      <c r="C80" s="3" t="s">
        <v>198</v>
      </c>
      <c r="E80" s="118">
        <f>+SUM(E6:E43)+SUM(E62:E79)</f>
        <v>566087852.6539998</v>
      </c>
      <c r="F80" s="9"/>
      <c r="G80" s="9">
        <f>SUM(G6:G79)</f>
        <v>517000205.3899999</v>
      </c>
      <c r="H80" s="9"/>
      <c r="I80" s="126">
        <f>(E80/G80)-1</f>
        <v>0.09494705563408923</v>
      </c>
    </row>
    <row r="81" ht="12" customHeight="1"/>
    <row r="82" spans="3:7" ht="12.75" hidden="1">
      <c r="C82" s="115" t="s">
        <v>459</v>
      </c>
      <c r="E82" s="118">
        <f>+'3.2 Yfirlit'!CV68</f>
        <v>566087853.0939999</v>
      </c>
      <c r="G82" s="118">
        <f>+'3.2 Yfirlit'!CV65</f>
        <v>517000205.39299995</v>
      </c>
    </row>
    <row r="83" spans="3:9" ht="12.75" customHeight="1" hidden="1">
      <c r="C83" s="3"/>
      <c r="E83" s="118">
        <f>+E80-E82</f>
        <v>-0.440000057220459</v>
      </c>
      <c r="G83" s="118">
        <f>+G80-G82</f>
        <v>-0.003000020980834961</v>
      </c>
      <c r="I83" s="127"/>
    </row>
    <row r="84" spans="3:9" ht="12.75" customHeight="1">
      <c r="C84" s="3"/>
      <c r="I84" s="127"/>
    </row>
    <row r="85" spans="3:9" ht="12.75" customHeight="1">
      <c r="C85" s="3"/>
      <c r="I85" s="127"/>
    </row>
    <row r="86" spans="3:9" ht="12.75" customHeight="1">
      <c r="C86" s="3"/>
      <c r="I86" s="127"/>
    </row>
    <row r="87" spans="3:9" ht="12.75" customHeight="1">
      <c r="C87" s="3"/>
      <c r="I87" s="127"/>
    </row>
    <row r="88" spans="3:60" ht="12.75" customHeight="1">
      <c r="C88" s="9"/>
      <c r="D88" s="128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</row>
    <row r="89" spans="3:9" ht="12.75" customHeight="1">
      <c r="C89" s="3"/>
      <c r="I89" s="127"/>
    </row>
    <row r="90" spans="3:9" ht="12.75" customHeight="1">
      <c r="C90" s="3"/>
      <c r="I90" s="127"/>
    </row>
    <row r="91" spans="3:9" ht="12.75" customHeight="1">
      <c r="C91" s="3"/>
      <c r="I91" s="127"/>
    </row>
    <row r="92" spans="3:9" ht="12.75" customHeight="1">
      <c r="C92" s="3"/>
      <c r="I92" s="127"/>
    </row>
    <row r="96" spans="3:9" ht="12.75" customHeight="1">
      <c r="C96" s="3"/>
      <c r="I96" s="127"/>
    </row>
    <row r="97" ht="12.75">
      <c r="C97" s="42"/>
    </row>
    <row r="98" ht="12.75">
      <c r="C98" s="42"/>
    </row>
    <row r="99" ht="12.75">
      <c r="C99" s="2" t="s">
        <v>182</v>
      </c>
    </row>
    <row r="100" spans="3:9" ht="12.75" customHeight="1">
      <c r="C100" s="11" t="s">
        <v>476</v>
      </c>
      <c r="I100" s="127"/>
    </row>
    <row r="101" spans="3:9" ht="12.75" customHeight="1">
      <c r="C101" s="11" t="s">
        <v>477</v>
      </c>
      <c r="I101" s="127"/>
    </row>
    <row r="102" spans="3:9" ht="12.75" customHeight="1">
      <c r="C102" s="11" t="s">
        <v>487</v>
      </c>
      <c r="I102" s="127"/>
    </row>
    <row r="103" ht="12.75">
      <c r="C103" s="11" t="s">
        <v>495</v>
      </c>
    </row>
  </sheetData>
  <sheetProtection/>
  <printOptions/>
  <pageMargins left="0.5511811023622047" right="0.5511811023622047" top="1.1811023622047245" bottom="0.7874015748031497" header="0.7086614173228347" footer="0.5511811023622047"/>
  <pageSetup firstPageNumber="7" useFirstPageNumber="1" orientation="portrait" paperSize="9" r:id="rId1"/>
  <headerFooter alignWithMargins="0">
    <oddHeader>&amp;C&amp;"Times New Roman,Bold"&amp;14 2.2. YFIRLIT YFIR LÍFEYRISSJÓÐI Í STÆRÐARRÖÐ 31.12.2000</oddHeader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2:I65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.375" style="42" customWidth="1"/>
    <col min="2" max="2" width="2.00390625" style="42" customWidth="1"/>
    <col min="3" max="3" width="26.375" style="42" customWidth="1"/>
    <col min="4" max="4" width="10.25390625" style="42" customWidth="1"/>
    <col min="5" max="5" width="10.625" style="42" customWidth="1"/>
    <col min="6" max="6" width="9.75390625" style="42" customWidth="1"/>
    <col min="7" max="7" width="9.375" style="42" customWidth="1"/>
    <col min="8" max="8" width="9.125" style="42" customWidth="1"/>
    <col min="9" max="16384" width="9.00390625" style="42" customWidth="1"/>
  </cols>
  <sheetData>
    <row r="1" ht="20.25" customHeight="1"/>
    <row r="2" spans="1:8" ht="12" customHeight="1">
      <c r="A2" s="20"/>
      <c r="B2" s="20"/>
      <c r="C2" s="28"/>
      <c r="D2" s="15" t="s">
        <v>377</v>
      </c>
      <c r="E2" s="15"/>
      <c r="F2" s="18" t="s">
        <v>383</v>
      </c>
      <c r="G2" s="15" t="s">
        <v>384</v>
      </c>
      <c r="H2" s="15"/>
    </row>
    <row r="3" spans="1:8" ht="12.75">
      <c r="A3" s="20"/>
      <c r="B3" s="20"/>
      <c r="C3" s="28" t="s">
        <v>11</v>
      </c>
      <c r="D3" s="18" t="s">
        <v>409</v>
      </c>
      <c r="E3" s="18" t="s">
        <v>404</v>
      </c>
      <c r="F3" s="15" t="s">
        <v>403</v>
      </c>
      <c r="G3" s="15" t="s">
        <v>403</v>
      </c>
      <c r="H3" s="15" t="s">
        <v>405</v>
      </c>
    </row>
    <row r="4" spans="1:8" ht="6.75" customHeight="1">
      <c r="A4" s="20"/>
      <c r="B4" s="20"/>
      <c r="C4" s="28"/>
      <c r="D4" s="118"/>
      <c r="E4" s="118"/>
      <c r="F4" s="118"/>
      <c r="G4" s="118"/>
      <c r="H4" s="118"/>
    </row>
    <row r="5" spans="1:9" s="33" customFormat="1" ht="12" customHeight="1">
      <c r="A5" s="36">
        <v>1</v>
      </c>
      <c r="B5" s="37"/>
      <c r="C5" s="38" t="s">
        <v>156</v>
      </c>
      <c r="D5" s="128">
        <v>85686756.101</v>
      </c>
      <c r="E5" s="128">
        <f>D5-H5</f>
        <v>85335946.27</v>
      </c>
      <c r="F5" s="128"/>
      <c r="G5" s="128"/>
      <c r="H5" s="128">
        <v>350809.831</v>
      </c>
      <c r="I5" s="128"/>
    </row>
    <row r="6" spans="1:9" s="33" customFormat="1" ht="12" customHeight="1">
      <c r="A6" s="36">
        <v>2</v>
      </c>
      <c r="B6" s="37"/>
      <c r="C6" s="38" t="s">
        <v>362</v>
      </c>
      <c r="D6" s="128">
        <v>76087894</v>
      </c>
      <c r="E6" s="128">
        <f>D6-H6-F6-G6</f>
        <v>12477373</v>
      </c>
      <c r="F6" s="128">
        <v>63168159</v>
      </c>
      <c r="G6" s="128"/>
      <c r="H6" s="128">
        <v>442362</v>
      </c>
      <c r="I6" s="128"/>
    </row>
    <row r="7" spans="1:9" s="33" customFormat="1" ht="12" customHeight="1">
      <c r="A7" s="36">
        <v>3</v>
      </c>
      <c r="B7" s="37"/>
      <c r="C7" s="38" t="s">
        <v>202</v>
      </c>
      <c r="D7" s="128">
        <v>48084459.601</v>
      </c>
      <c r="E7" s="128">
        <f>D7-H7</f>
        <v>48043572.766</v>
      </c>
      <c r="F7" s="128"/>
      <c r="G7" s="128"/>
      <c r="H7" s="128">
        <v>40886.83500000001</v>
      </c>
      <c r="I7" s="128"/>
    </row>
    <row r="8" spans="1:9" s="33" customFormat="1" ht="12" customHeight="1">
      <c r="A8" s="36">
        <v>4</v>
      </c>
      <c r="B8" s="37"/>
      <c r="C8" s="38" t="s">
        <v>159</v>
      </c>
      <c r="D8" s="128">
        <v>42083354</v>
      </c>
      <c r="E8" s="128">
        <f>D8-H8-G8</f>
        <v>41926041.548</v>
      </c>
      <c r="F8" s="128"/>
      <c r="G8" s="128">
        <v>106833.711</v>
      </c>
      <c r="H8" s="128">
        <v>50478.741</v>
      </c>
      <c r="I8" s="128"/>
    </row>
    <row r="9" spans="1:9" s="33" customFormat="1" ht="12" customHeight="1">
      <c r="A9" s="36">
        <v>5</v>
      </c>
      <c r="B9" s="37"/>
      <c r="C9" s="38" t="s">
        <v>157</v>
      </c>
      <c r="D9" s="128">
        <v>41161795.553</v>
      </c>
      <c r="E9" s="128">
        <f>D9-H9</f>
        <v>41158266.669</v>
      </c>
      <c r="F9" s="128"/>
      <c r="G9" s="128"/>
      <c r="H9" s="128">
        <v>3528.884</v>
      </c>
      <c r="I9" s="128"/>
    </row>
    <row r="10" spans="1:9" s="33" customFormat="1" ht="12" customHeight="1">
      <c r="A10" s="36">
        <v>6</v>
      </c>
      <c r="B10" s="37"/>
      <c r="C10" s="38" t="s">
        <v>162</v>
      </c>
      <c r="D10" s="128">
        <v>19504233.303000003</v>
      </c>
      <c r="E10" s="128">
        <f>D10-H10-F10-G10</f>
        <v>19423416.607000005</v>
      </c>
      <c r="F10" s="128"/>
      <c r="G10" s="128"/>
      <c r="H10" s="128">
        <v>80816.696</v>
      </c>
      <c r="I10" s="128"/>
    </row>
    <row r="11" spans="1:9" s="33" customFormat="1" ht="12" customHeight="1">
      <c r="A11" s="36">
        <v>7</v>
      </c>
      <c r="B11" s="37"/>
      <c r="C11" s="38" t="s">
        <v>161</v>
      </c>
      <c r="D11" s="128">
        <v>19242728.761</v>
      </c>
      <c r="E11" s="128">
        <f aca="true" t="shared" si="0" ref="E11:E60">D11-H11-F11-G11</f>
        <v>19223122.707</v>
      </c>
      <c r="F11" s="128"/>
      <c r="G11" s="128"/>
      <c r="H11" s="128">
        <v>19606.054</v>
      </c>
      <c r="I11" s="128"/>
    </row>
    <row r="12" spans="1:9" s="33" customFormat="1" ht="12" customHeight="1">
      <c r="A12" s="36">
        <v>8</v>
      </c>
      <c r="B12" s="37"/>
      <c r="C12" s="38" t="s">
        <v>312</v>
      </c>
      <c r="D12" s="128">
        <v>17598639.455000002</v>
      </c>
      <c r="E12" s="128">
        <f>D12-H12-F12-G12</f>
        <v>2498043.455000002</v>
      </c>
      <c r="F12" s="128">
        <v>15100596</v>
      </c>
      <c r="G12" s="128"/>
      <c r="H12" s="128"/>
      <c r="I12" s="128"/>
    </row>
    <row r="13" spans="1:9" s="33" customFormat="1" ht="12" customHeight="1">
      <c r="A13" s="36">
        <v>9</v>
      </c>
      <c r="B13" s="37"/>
      <c r="C13" s="38" t="s">
        <v>277</v>
      </c>
      <c r="D13" s="128">
        <v>16277232.524999999</v>
      </c>
      <c r="E13" s="128">
        <f>D13-H13-F13-G13</f>
        <v>16212998.018</v>
      </c>
      <c r="F13" s="128"/>
      <c r="G13" s="128"/>
      <c r="H13" s="128">
        <v>64234.507</v>
      </c>
      <c r="I13" s="128"/>
    </row>
    <row r="14" spans="1:9" s="33" customFormat="1" ht="12" customHeight="1">
      <c r="A14" s="36">
        <v>10</v>
      </c>
      <c r="B14" s="37"/>
      <c r="C14" s="38" t="s">
        <v>163</v>
      </c>
      <c r="D14" s="128">
        <v>15604177.187999995</v>
      </c>
      <c r="E14" s="128">
        <f t="shared" si="0"/>
        <v>14682134.547999997</v>
      </c>
      <c r="F14" s="128"/>
      <c r="G14" s="128">
        <v>394270.77</v>
      </c>
      <c r="H14" s="128">
        <v>527771.87</v>
      </c>
      <c r="I14" s="128"/>
    </row>
    <row r="15" spans="1:9" s="33" customFormat="1" ht="12" customHeight="1">
      <c r="A15" s="36">
        <v>11</v>
      </c>
      <c r="B15" s="37"/>
      <c r="C15" s="38" t="s">
        <v>165</v>
      </c>
      <c r="D15" s="128">
        <v>13854583.112</v>
      </c>
      <c r="E15" s="128">
        <f t="shared" si="0"/>
        <v>13854583.112</v>
      </c>
      <c r="F15" s="128"/>
      <c r="G15" s="128"/>
      <c r="H15" s="128"/>
      <c r="I15" s="128"/>
    </row>
    <row r="16" spans="1:9" s="33" customFormat="1" ht="12" customHeight="1">
      <c r="A16" s="36">
        <v>12</v>
      </c>
      <c r="B16" s="37"/>
      <c r="C16" s="38" t="s">
        <v>166</v>
      </c>
      <c r="D16" s="128">
        <v>12238127.661999999</v>
      </c>
      <c r="E16" s="128">
        <f t="shared" si="0"/>
        <v>12233320.327999998</v>
      </c>
      <c r="F16" s="128"/>
      <c r="G16" s="128"/>
      <c r="H16" s="128">
        <v>4807.334</v>
      </c>
      <c r="I16" s="128"/>
    </row>
    <row r="17" spans="1:9" s="33" customFormat="1" ht="12" customHeight="1">
      <c r="A17" s="36">
        <v>13</v>
      </c>
      <c r="B17" s="37"/>
      <c r="C17" s="38" t="s">
        <v>168</v>
      </c>
      <c r="D17" s="128">
        <v>11742474</v>
      </c>
      <c r="E17" s="128">
        <f t="shared" si="0"/>
        <v>0</v>
      </c>
      <c r="F17" s="128"/>
      <c r="G17" s="128">
        <f>D17-H17</f>
        <v>11742474</v>
      </c>
      <c r="H17" s="128"/>
      <c r="I17" s="128"/>
    </row>
    <row r="18" spans="1:9" s="33" customFormat="1" ht="12" customHeight="1">
      <c r="A18" s="36">
        <v>14</v>
      </c>
      <c r="B18" s="37"/>
      <c r="C18" s="38" t="s">
        <v>164</v>
      </c>
      <c r="D18" s="128">
        <v>11518068.324</v>
      </c>
      <c r="E18" s="128">
        <f t="shared" si="0"/>
        <v>11518068.324</v>
      </c>
      <c r="F18" s="128"/>
      <c r="G18" s="128"/>
      <c r="H18" s="128"/>
      <c r="I18" s="128"/>
    </row>
    <row r="19" spans="1:9" s="33" customFormat="1" ht="12" customHeight="1">
      <c r="A19" s="36">
        <v>15</v>
      </c>
      <c r="B19" s="37"/>
      <c r="C19" s="38" t="s">
        <v>167</v>
      </c>
      <c r="D19" s="128">
        <v>11013505.986999996</v>
      </c>
      <c r="E19" s="128">
        <f t="shared" si="0"/>
        <v>11013505.986999996</v>
      </c>
      <c r="F19" s="128"/>
      <c r="G19" s="128"/>
      <c r="H19" s="128"/>
      <c r="I19" s="128"/>
    </row>
    <row r="20" spans="1:9" s="33" customFormat="1" ht="12" customHeight="1">
      <c r="A20" s="36">
        <v>16</v>
      </c>
      <c r="B20" s="37"/>
      <c r="C20" s="38" t="s">
        <v>320</v>
      </c>
      <c r="D20" s="128">
        <v>10643354.852</v>
      </c>
      <c r="E20" s="128">
        <f t="shared" si="0"/>
        <v>0</v>
      </c>
      <c r="F20" s="128"/>
      <c r="G20" s="128">
        <f>D20-H20</f>
        <v>10558491.403</v>
      </c>
      <c r="H20" s="128">
        <v>84863.449</v>
      </c>
      <c r="I20" s="128"/>
    </row>
    <row r="21" spans="1:9" s="33" customFormat="1" ht="12" customHeight="1">
      <c r="A21" s="36">
        <v>17</v>
      </c>
      <c r="B21" s="37"/>
      <c r="C21" s="38" t="s">
        <v>301</v>
      </c>
      <c r="D21" s="128">
        <v>10045948.616</v>
      </c>
      <c r="E21" s="128">
        <f t="shared" si="0"/>
        <v>10042024.747</v>
      </c>
      <c r="F21" s="128"/>
      <c r="G21" s="128"/>
      <c r="H21" s="128">
        <v>3923.869</v>
      </c>
      <c r="I21" s="128"/>
    </row>
    <row r="22" spans="1:9" s="33" customFormat="1" ht="12" customHeight="1">
      <c r="A22" s="36">
        <v>18</v>
      </c>
      <c r="B22" s="37"/>
      <c r="C22" s="38" t="s">
        <v>170</v>
      </c>
      <c r="D22" s="128">
        <v>8862556.575999998</v>
      </c>
      <c r="E22" s="128">
        <f t="shared" si="0"/>
        <v>0</v>
      </c>
      <c r="F22" s="128"/>
      <c r="G22" s="128">
        <f>D22-H22</f>
        <v>488290.57599999756</v>
      </c>
      <c r="H22" s="128">
        <v>8374266</v>
      </c>
      <c r="I22" s="128"/>
    </row>
    <row r="23" spans="1:9" s="33" customFormat="1" ht="12" customHeight="1">
      <c r="A23" s="36">
        <v>19</v>
      </c>
      <c r="B23" s="37"/>
      <c r="C23" s="38" t="s">
        <v>177</v>
      </c>
      <c r="D23" s="128">
        <v>8503536.481</v>
      </c>
      <c r="E23" s="128">
        <f t="shared" si="0"/>
        <v>0</v>
      </c>
      <c r="F23" s="128"/>
      <c r="G23" s="128">
        <f>D23-H23</f>
        <v>741531.4810000006</v>
      </c>
      <c r="H23" s="128">
        <v>7762005</v>
      </c>
      <c r="I23" s="128"/>
    </row>
    <row r="24" spans="1:9" s="33" customFormat="1" ht="12" customHeight="1">
      <c r="A24" s="36">
        <v>20</v>
      </c>
      <c r="B24" s="37"/>
      <c r="C24" s="38" t="s">
        <v>204</v>
      </c>
      <c r="D24" s="128">
        <v>7504773.403999999</v>
      </c>
      <c r="E24" s="128">
        <f t="shared" si="0"/>
        <v>0</v>
      </c>
      <c r="F24" s="128">
        <f>D24</f>
        <v>7504773.403999999</v>
      </c>
      <c r="G24" s="128"/>
      <c r="H24" s="128"/>
      <c r="I24" s="128"/>
    </row>
    <row r="25" spans="1:9" s="33" customFormat="1" ht="12" customHeight="1">
      <c r="A25" s="36">
        <v>21</v>
      </c>
      <c r="B25" s="37"/>
      <c r="C25" s="38" t="s">
        <v>169</v>
      </c>
      <c r="D25" s="128">
        <v>7189223.631000001</v>
      </c>
      <c r="E25" s="128">
        <f t="shared" si="0"/>
        <v>7186802.048000001</v>
      </c>
      <c r="F25" s="128"/>
      <c r="G25" s="128"/>
      <c r="H25" s="128">
        <v>2421.583</v>
      </c>
      <c r="I25" s="128"/>
    </row>
    <row r="26" spans="1:9" s="33" customFormat="1" ht="12" customHeight="1">
      <c r="A26" s="36">
        <v>22</v>
      </c>
      <c r="B26" s="37"/>
      <c r="C26" s="38" t="s">
        <v>302</v>
      </c>
      <c r="D26" s="128">
        <v>6772942.002</v>
      </c>
      <c r="E26" s="128">
        <f t="shared" si="0"/>
        <v>6769995.661</v>
      </c>
      <c r="F26" s="128"/>
      <c r="G26" s="128"/>
      <c r="H26" s="128">
        <v>2946.341</v>
      </c>
      <c r="I26" s="128"/>
    </row>
    <row r="27" spans="1:9" s="33" customFormat="1" ht="12" customHeight="1">
      <c r="A27" s="36">
        <v>23</v>
      </c>
      <c r="B27" s="37"/>
      <c r="C27" s="38" t="s">
        <v>191</v>
      </c>
      <c r="D27" s="128">
        <v>6457411</v>
      </c>
      <c r="E27" s="128">
        <f t="shared" si="0"/>
        <v>0</v>
      </c>
      <c r="F27" s="128"/>
      <c r="G27" s="128">
        <f>D27-H27</f>
        <v>325080</v>
      </c>
      <c r="H27" s="128">
        <v>6132331</v>
      </c>
      <c r="I27" s="128"/>
    </row>
    <row r="28" spans="1:9" s="33" customFormat="1" ht="12" customHeight="1">
      <c r="A28" s="36">
        <v>24</v>
      </c>
      <c r="B28" s="37"/>
      <c r="C28" s="38" t="s">
        <v>385</v>
      </c>
      <c r="D28" s="128">
        <v>6070779.312</v>
      </c>
      <c r="E28" s="128">
        <f t="shared" si="0"/>
        <v>0</v>
      </c>
      <c r="F28" s="128">
        <f>D28</f>
        <v>6070779.312</v>
      </c>
      <c r="G28" s="128"/>
      <c r="H28" s="128"/>
      <c r="I28" s="128"/>
    </row>
    <row r="29" spans="1:9" s="33" customFormat="1" ht="12" customHeight="1">
      <c r="A29" s="36">
        <v>25</v>
      </c>
      <c r="B29" s="37"/>
      <c r="C29" s="38" t="s">
        <v>386</v>
      </c>
      <c r="D29" s="128">
        <v>5557691.871</v>
      </c>
      <c r="E29" s="128">
        <f t="shared" si="0"/>
        <v>0</v>
      </c>
      <c r="F29" s="128"/>
      <c r="G29" s="128">
        <f>D29-H29</f>
        <v>895694.2939999998</v>
      </c>
      <c r="H29" s="128">
        <v>4661997.5770000005</v>
      </c>
      <c r="I29" s="128"/>
    </row>
    <row r="30" spans="1:9" s="33" customFormat="1" ht="12" customHeight="1">
      <c r="A30" s="36">
        <v>26</v>
      </c>
      <c r="B30" s="37"/>
      <c r="C30" s="38" t="s">
        <v>319</v>
      </c>
      <c r="D30" s="128">
        <v>5212573.93</v>
      </c>
      <c r="E30" s="128">
        <f t="shared" si="0"/>
        <v>5212573.93</v>
      </c>
      <c r="F30" s="128"/>
      <c r="G30" s="128"/>
      <c r="H30" s="128"/>
      <c r="I30" s="128"/>
    </row>
    <row r="31" spans="1:9" s="33" customFormat="1" ht="12" customHeight="1">
      <c r="A31" s="36">
        <v>27</v>
      </c>
      <c r="B31" s="37"/>
      <c r="C31" s="38" t="s">
        <v>189</v>
      </c>
      <c r="D31" s="128">
        <v>4023612.5909999995</v>
      </c>
      <c r="E31" s="128">
        <f t="shared" si="0"/>
        <v>0</v>
      </c>
      <c r="F31" s="128"/>
      <c r="G31" s="128">
        <f>D31-H31</f>
        <v>127354.33299999963</v>
      </c>
      <c r="H31" s="128">
        <v>3896258.258</v>
      </c>
      <c r="I31" s="128"/>
    </row>
    <row r="32" spans="1:9" s="33" customFormat="1" ht="12" customHeight="1">
      <c r="A32" s="36">
        <v>28</v>
      </c>
      <c r="B32" s="37"/>
      <c r="C32" s="38" t="s">
        <v>387</v>
      </c>
      <c r="D32" s="128">
        <v>3291736.781</v>
      </c>
      <c r="E32" s="128">
        <f t="shared" si="0"/>
        <v>3290820.139</v>
      </c>
      <c r="F32" s="128"/>
      <c r="G32" s="128"/>
      <c r="H32" s="128">
        <v>916.642</v>
      </c>
      <c r="I32" s="128"/>
    </row>
    <row r="33" spans="1:9" s="33" customFormat="1" ht="12" customHeight="1">
      <c r="A33" s="36">
        <v>29</v>
      </c>
      <c r="B33" s="37"/>
      <c r="C33" s="38" t="s">
        <v>176</v>
      </c>
      <c r="D33" s="128">
        <v>3214727.503</v>
      </c>
      <c r="E33" s="128">
        <f t="shared" si="0"/>
        <v>3156794.958</v>
      </c>
      <c r="F33" s="128"/>
      <c r="G33" s="128"/>
      <c r="H33" s="128">
        <v>57932.545</v>
      </c>
      <c r="I33" s="128"/>
    </row>
    <row r="34" spans="1:9" s="33" customFormat="1" ht="12" customHeight="1">
      <c r="A34" s="36">
        <v>30</v>
      </c>
      <c r="B34" s="37"/>
      <c r="C34" s="38" t="s">
        <v>171</v>
      </c>
      <c r="D34" s="128">
        <v>3100530.392</v>
      </c>
      <c r="E34" s="128">
        <f t="shared" si="0"/>
        <v>3055985.033</v>
      </c>
      <c r="F34" s="128"/>
      <c r="G34" s="128"/>
      <c r="H34" s="128">
        <v>44545.359</v>
      </c>
      <c r="I34" s="128"/>
    </row>
    <row r="35" spans="1:9" s="33" customFormat="1" ht="12" customHeight="1">
      <c r="A35" s="36">
        <v>31</v>
      </c>
      <c r="B35" s="37"/>
      <c r="C35" s="38" t="s">
        <v>388</v>
      </c>
      <c r="D35" s="128">
        <v>3006691.239</v>
      </c>
      <c r="E35" s="128">
        <f t="shared" si="0"/>
        <v>0</v>
      </c>
      <c r="F35" s="128">
        <f>D35</f>
        <v>3006691.239</v>
      </c>
      <c r="G35" s="128"/>
      <c r="H35" s="128"/>
      <c r="I35" s="128"/>
    </row>
    <row r="36" spans="1:9" s="33" customFormat="1" ht="12" customHeight="1">
      <c r="A36" s="36">
        <v>32</v>
      </c>
      <c r="B36" s="37"/>
      <c r="C36" s="38" t="s">
        <v>389</v>
      </c>
      <c r="D36" s="128">
        <v>2521492.9269999997</v>
      </c>
      <c r="E36" s="128">
        <f t="shared" si="0"/>
        <v>2521492.9269999997</v>
      </c>
      <c r="F36" s="128"/>
      <c r="G36" s="128"/>
      <c r="H36" s="128"/>
      <c r="I36" s="128"/>
    </row>
    <row r="37" spans="1:9" s="33" customFormat="1" ht="12" customHeight="1">
      <c r="A37" s="36">
        <v>33</v>
      </c>
      <c r="B37" s="37"/>
      <c r="C37" s="38" t="s">
        <v>390</v>
      </c>
      <c r="D37" s="128">
        <v>2370870.444</v>
      </c>
      <c r="E37" s="128">
        <f t="shared" si="0"/>
        <v>0</v>
      </c>
      <c r="F37" s="128">
        <f>D37</f>
        <v>2370870.444</v>
      </c>
      <c r="G37" s="128"/>
      <c r="H37" s="128"/>
      <c r="I37" s="128"/>
    </row>
    <row r="38" spans="1:9" s="33" customFormat="1" ht="12" customHeight="1">
      <c r="A38" s="36">
        <v>34</v>
      </c>
      <c r="B38" s="37"/>
      <c r="C38" s="38" t="s">
        <v>178</v>
      </c>
      <c r="D38" s="128">
        <v>1993433.8839999998</v>
      </c>
      <c r="E38" s="128">
        <f t="shared" si="0"/>
        <v>1993433.8839999998</v>
      </c>
      <c r="F38" s="128"/>
      <c r="G38" s="128"/>
      <c r="H38" s="128"/>
      <c r="I38" s="128"/>
    </row>
    <row r="39" spans="1:9" s="33" customFormat="1" ht="12" customHeight="1">
      <c r="A39" s="36">
        <v>35</v>
      </c>
      <c r="B39" s="37"/>
      <c r="C39" s="38" t="s">
        <v>179</v>
      </c>
      <c r="D39" s="128">
        <v>1977470.53</v>
      </c>
      <c r="E39" s="128">
        <f t="shared" si="0"/>
        <v>1977470.53</v>
      </c>
      <c r="F39" s="128"/>
      <c r="G39" s="128"/>
      <c r="H39" s="128"/>
      <c r="I39" s="128"/>
    </row>
    <row r="40" spans="1:9" s="33" customFormat="1" ht="12" customHeight="1">
      <c r="A40" s="36">
        <v>36</v>
      </c>
      <c r="B40" s="37"/>
      <c r="C40" s="38" t="s">
        <v>180</v>
      </c>
      <c r="D40" s="128">
        <v>1875175.0809999998</v>
      </c>
      <c r="E40" s="128">
        <f t="shared" si="0"/>
        <v>1875175.0809999998</v>
      </c>
      <c r="F40" s="128"/>
      <c r="G40" s="128"/>
      <c r="H40" s="128"/>
      <c r="I40" s="128"/>
    </row>
    <row r="41" spans="1:9" s="33" customFormat="1" ht="12" customHeight="1">
      <c r="A41" s="36">
        <v>37</v>
      </c>
      <c r="B41" s="39"/>
      <c r="C41" s="40" t="s">
        <v>395</v>
      </c>
      <c r="D41" s="128">
        <v>1483263.403</v>
      </c>
      <c r="E41" s="128">
        <f t="shared" si="0"/>
        <v>0</v>
      </c>
      <c r="F41" s="128">
        <f>+D41-G41-H41</f>
        <v>1309266.5709999998</v>
      </c>
      <c r="G41" s="128">
        <v>154429.816</v>
      </c>
      <c r="H41" s="128">
        <v>19567.016</v>
      </c>
      <c r="I41" s="128"/>
    </row>
    <row r="42" spans="1:9" s="33" customFormat="1" ht="12" customHeight="1">
      <c r="A42" s="36">
        <v>38</v>
      </c>
      <c r="B42" s="37"/>
      <c r="C42" s="38" t="s">
        <v>391</v>
      </c>
      <c r="D42" s="128">
        <v>1438769.44</v>
      </c>
      <c r="E42" s="128">
        <f t="shared" si="0"/>
        <v>1438769.44</v>
      </c>
      <c r="F42" s="128"/>
      <c r="G42" s="128"/>
      <c r="H42" s="128"/>
      <c r="I42" s="128"/>
    </row>
    <row r="43" spans="1:9" s="33" customFormat="1" ht="12" customHeight="1">
      <c r="A43" s="36">
        <v>39</v>
      </c>
      <c r="B43" s="37"/>
      <c r="C43" s="38" t="s">
        <v>392</v>
      </c>
      <c r="D43" s="128">
        <v>1349221.5779999997</v>
      </c>
      <c r="E43" s="128">
        <f t="shared" si="0"/>
        <v>0</v>
      </c>
      <c r="F43" s="128">
        <f>D43</f>
        <v>1349221.5779999997</v>
      </c>
      <c r="G43" s="128"/>
      <c r="H43" s="128"/>
      <c r="I43" s="128"/>
    </row>
    <row r="44" spans="1:9" s="33" customFormat="1" ht="12" customHeight="1">
      <c r="A44" s="36">
        <v>40</v>
      </c>
      <c r="B44" s="39"/>
      <c r="C44" s="40" t="s">
        <v>278</v>
      </c>
      <c r="D44" s="128">
        <v>1310949.2810000002</v>
      </c>
      <c r="E44" s="128">
        <f t="shared" si="0"/>
        <v>0.32100000022910535</v>
      </c>
      <c r="F44" s="128"/>
      <c r="G44" s="128">
        <v>79439</v>
      </c>
      <c r="H44" s="128">
        <v>1231509.96</v>
      </c>
      <c r="I44" s="128"/>
    </row>
    <row r="45" spans="1:9" s="33" customFormat="1" ht="12" customHeight="1">
      <c r="A45" s="36">
        <v>41</v>
      </c>
      <c r="B45" s="39"/>
      <c r="C45" s="40" t="s">
        <v>393</v>
      </c>
      <c r="D45" s="128">
        <v>1251769.76</v>
      </c>
      <c r="E45" s="128">
        <f t="shared" si="0"/>
        <v>102430.03399999999</v>
      </c>
      <c r="F45" s="128">
        <v>1149339.726</v>
      </c>
      <c r="G45" s="128"/>
      <c r="H45" s="128"/>
      <c r="I45" s="128"/>
    </row>
    <row r="46" spans="1:9" s="33" customFormat="1" ht="12" customHeight="1">
      <c r="A46" s="36">
        <v>42</v>
      </c>
      <c r="B46" s="39"/>
      <c r="C46" s="40" t="s">
        <v>326</v>
      </c>
      <c r="D46" s="128">
        <v>1185731.7540000002</v>
      </c>
      <c r="E46" s="128">
        <f t="shared" si="0"/>
        <v>1185731.7540000002</v>
      </c>
      <c r="F46" s="128"/>
      <c r="G46" s="128"/>
      <c r="H46" s="128"/>
      <c r="I46" s="128"/>
    </row>
    <row r="47" spans="1:9" s="33" customFormat="1" ht="12" customHeight="1">
      <c r="A47" s="36">
        <v>43</v>
      </c>
      <c r="B47" s="39"/>
      <c r="C47" s="40" t="s">
        <v>394</v>
      </c>
      <c r="D47" s="128">
        <v>1068011.868</v>
      </c>
      <c r="E47" s="128">
        <f t="shared" si="0"/>
        <v>0</v>
      </c>
      <c r="F47" s="128"/>
      <c r="G47" s="128">
        <f>D47-H47</f>
        <v>24361.39100000006</v>
      </c>
      <c r="H47" s="128">
        <v>1043650.477</v>
      </c>
      <c r="I47" s="128"/>
    </row>
    <row r="48" spans="1:9" s="33" customFormat="1" ht="12" customHeight="1">
      <c r="A48" s="36">
        <v>44</v>
      </c>
      <c r="B48" s="39"/>
      <c r="C48" s="40" t="s">
        <v>184</v>
      </c>
      <c r="D48" s="128">
        <v>1057372.815</v>
      </c>
      <c r="E48" s="128">
        <f t="shared" si="0"/>
        <v>0</v>
      </c>
      <c r="F48" s="128">
        <f>D48</f>
        <v>1057372.815</v>
      </c>
      <c r="G48" s="128"/>
      <c r="H48" s="128"/>
      <c r="I48" s="128"/>
    </row>
    <row r="49" spans="1:9" s="33" customFormat="1" ht="12" customHeight="1">
      <c r="A49" s="36">
        <v>45</v>
      </c>
      <c r="B49" s="39"/>
      <c r="C49" s="40" t="s">
        <v>187</v>
      </c>
      <c r="D49" s="128">
        <v>766054.3920000001</v>
      </c>
      <c r="E49" s="128">
        <f t="shared" si="0"/>
        <v>0</v>
      </c>
      <c r="F49" s="128">
        <f>D49</f>
        <v>766054.3920000001</v>
      </c>
      <c r="G49" s="128"/>
      <c r="H49" s="128"/>
      <c r="I49" s="128"/>
    </row>
    <row r="50" spans="1:9" s="33" customFormat="1" ht="12" customHeight="1">
      <c r="A50" s="36">
        <v>46</v>
      </c>
      <c r="B50" s="39"/>
      <c r="C50" s="40" t="s">
        <v>186</v>
      </c>
      <c r="D50" s="128">
        <v>637155.9360000001</v>
      </c>
      <c r="E50" s="128">
        <f t="shared" si="0"/>
        <v>637155.9360000001</v>
      </c>
      <c r="F50" s="128"/>
      <c r="G50" s="128"/>
      <c r="H50" s="128"/>
      <c r="I50" s="128"/>
    </row>
    <row r="51" spans="1:9" s="33" customFormat="1" ht="12" customHeight="1">
      <c r="A51" s="36">
        <v>47</v>
      </c>
      <c r="B51" s="39"/>
      <c r="C51" s="40" t="s">
        <v>397</v>
      </c>
      <c r="D51" s="128">
        <v>581733.557</v>
      </c>
      <c r="E51" s="128">
        <f t="shared" si="0"/>
        <v>581733.557</v>
      </c>
      <c r="F51" s="128"/>
      <c r="G51" s="128"/>
      <c r="H51" s="128"/>
      <c r="I51" s="128"/>
    </row>
    <row r="52" spans="1:9" s="33" customFormat="1" ht="12" customHeight="1">
      <c r="A52" s="36">
        <v>48</v>
      </c>
      <c r="B52" s="39"/>
      <c r="C52" s="40" t="s">
        <v>299</v>
      </c>
      <c r="D52" s="128">
        <v>467591.85500000004</v>
      </c>
      <c r="E52" s="128">
        <f t="shared" si="0"/>
        <v>0</v>
      </c>
      <c r="F52" s="128">
        <f>D52</f>
        <v>467591.85500000004</v>
      </c>
      <c r="G52" s="128"/>
      <c r="H52" s="128"/>
      <c r="I52" s="128"/>
    </row>
    <row r="53" spans="1:9" s="33" customFormat="1" ht="12" customHeight="1">
      <c r="A53" s="36">
        <v>49</v>
      </c>
      <c r="B53" s="39"/>
      <c r="C53" s="40" t="s">
        <v>396</v>
      </c>
      <c r="D53" s="128">
        <v>447038.21</v>
      </c>
      <c r="E53" s="128">
        <f t="shared" si="0"/>
        <v>447038.21</v>
      </c>
      <c r="F53" s="128"/>
      <c r="G53" s="128"/>
      <c r="H53" s="128"/>
      <c r="I53" s="128"/>
    </row>
    <row r="54" spans="1:9" s="33" customFormat="1" ht="12" customHeight="1">
      <c r="A54" s="36">
        <v>50</v>
      </c>
      <c r="B54" s="39"/>
      <c r="C54" s="40" t="s">
        <v>190</v>
      </c>
      <c r="D54" s="128">
        <v>417759.473</v>
      </c>
      <c r="E54" s="128">
        <f t="shared" si="0"/>
        <v>417759.473</v>
      </c>
      <c r="F54" s="128"/>
      <c r="G54" s="128"/>
      <c r="H54" s="128"/>
      <c r="I54" s="128"/>
    </row>
    <row r="55" spans="1:9" s="33" customFormat="1" ht="12" customHeight="1">
      <c r="A55" s="36">
        <v>51</v>
      </c>
      <c r="B55" s="39"/>
      <c r="C55" s="40" t="s">
        <v>398</v>
      </c>
      <c r="D55" s="128">
        <v>287199.532</v>
      </c>
      <c r="E55" s="128">
        <f t="shared" si="0"/>
        <v>0</v>
      </c>
      <c r="F55" s="128">
        <f>D55</f>
        <v>287199.532</v>
      </c>
      <c r="G55" s="128"/>
      <c r="H55" s="128"/>
      <c r="I55" s="128"/>
    </row>
    <row r="56" spans="1:9" s="33" customFormat="1" ht="12" customHeight="1">
      <c r="A56" s="36">
        <v>52</v>
      </c>
      <c r="B56" s="39"/>
      <c r="C56" s="40" t="s">
        <v>194</v>
      </c>
      <c r="D56" s="128">
        <v>165173.83800000002</v>
      </c>
      <c r="E56" s="128">
        <f t="shared" si="0"/>
        <v>0</v>
      </c>
      <c r="F56" s="128">
        <f>D56</f>
        <v>165173.83800000002</v>
      </c>
      <c r="G56" s="128"/>
      <c r="H56" s="128"/>
      <c r="I56" s="128"/>
    </row>
    <row r="57" spans="1:9" s="33" customFormat="1" ht="12" customHeight="1">
      <c r="A57" s="36">
        <v>53</v>
      </c>
      <c r="B57" s="39"/>
      <c r="C57" s="40" t="s">
        <v>399</v>
      </c>
      <c r="D57" s="128">
        <v>109293.43900000001</v>
      </c>
      <c r="E57" s="128">
        <f t="shared" si="0"/>
        <v>0</v>
      </c>
      <c r="F57" s="128">
        <f>D57</f>
        <v>109293.43900000001</v>
      </c>
      <c r="G57" s="128"/>
      <c r="H57" s="128"/>
      <c r="I57" s="128"/>
    </row>
    <row r="58" spans="1:9" s="33" customFormat="1" ht="12" customHeight="1">
      <c r="A58" s="36">
        <v>54</v>
      </c>
      <c r="B58" s="39"/>
      <c r="C58" s="40" t="s">
        <v>195</v>
      </c>
      <c r="D58" s="128">
        <v>84170.347</v>
      </c>
      <c r="E58" s="128">
        <f t="shared" si="0"/>
        <v>17059.97799999999</v>
      </c>
      <c r="F58" s="129"/>
      <c r="G58" s="129"/>
      <c r="H58" s="129">
        <v>67110.369</v>
      </c>
      <c r="I58" s="128"/>
    </row>
    <row r="59" spans="1:9" s="33" customFormat="1" ht="12" customHeight="1">
      <c r="A59" s="36">
        <v>55</v>
      </c>
      <c r="B59" s="39"/>
      <c r="C59" s="40" t="s">
        <v>400</v>
      </c>
      <c r="D59" s="128">
        <v>76119.492</v>
      </c>
      <c r="E59" s="128">
        <f t="shared" si="0"/>
        <v>0</v>
      </c>
      <c r="F59" s="128">
        <f>D59</f>
        <v>76119.492</v>
      </c>
      <c r="G59" s="128"/>
      <c r="H59" s="128"/>
      <c r="I59" s="129"/>
    </row>
    <row r="60" spans="1:9" s="33" customFormat="1" ht="12" customHeight="1">
      <c r="A60" s="36">
        <v>56</v>
      </c>
      <c r="B60" s="39"/>
      <c r="C60" s="40" t="s">
        <v>401</v>
      </c>
      <c r="D60" s="128">
        <v>8910.2</v>
      </c>
      <c r="E60" s="128">
        <f t="shared" si="0"/>
        <v>0</v>
      </c>
      <c r="F60" s="130">
        <f>D60</f>
        <v>8910.2</v>
      </c>
      <c r="G60" s="130"/>
      <c r="H60" s="130"/>
      <c r="I60" s="129"/>
    </row>
    <row r="61" spans="1:9" ht="15" customHeight="1" thickBot="1">
      <c r="A61" s="115"/>
      <c r="B61" s="7"/>
      <c r="C61" s="3" t="s">
        <v>402</v>
      </c>
      <c r="D61" s="131">
        <f>SUM(D5:D60)</f>
        <v>566087852.7889999</v>
      </c>
      <c r="E61" s="131">
        <f>SUM(E5:E60)</f>
        <v>401510640.9799998</v>
      </c>
      <c r="F61" s="131">
        <f>SUM(F5:F60)</f>
        <v>103967412.83700001</v>
      </c>
      <c r="G61" s="131">
        <f>SUM(G5:G60)</f>
        <v>25638250.775</v>
      </c>
      <c r="H61" s="131">
        <f>SUM(H5:H60)</f>
        <v>34971548.197000004</v>
      </c>
      <c r="I61" s="122"/>
    </row>
    <row r="62" spans="1:9" ht="4.5" customHeight="1" thickTop="1">
      <c r="A62" s="115"/>
      <c r="B62" s="7"/>
      <c r="C62" s="3"/>
      <c r="D62" s="9"/>
      <c r="E62" s="9"/>
      <c r="F62" s="9"/>
      <c r="G62" s="9"/>
      <c r="H62" s="9"/>
      <c r="I62" s="122"/>
    </row>
    <row r="63" spans="8:9" ht="6.75" customHeight="1">
      <c r="H63" s="132"/>
      <c r="I63" s="132"/>
    </row>
    <row r="64" spans="1:8" ht="12.75">
      <c r="A64" s="41" t="s">
        <v>407</v>
      </c>
      <c r="H64" s="122"/>
    </row>
    <row r="65" spans="1:8" ht="12.75">
      <c r="A65" s="41" t="s">
        <v>406</v>
      </c>
      <c r="H65" s="132"/>
    </row>
  </sheetData>
  <sheetProtection/>
  <printOptions/>
  <pageMargins left="0.6692913385826772" right="0.5511811023622047" top="0.46" bottom="0.24" header="0.25" footer="0.24"/>
  <pageSetup firstPageNumber="9" useFirstPageNumber="1" horizontalDpi="600" verticalDpi="600" orientation="portrait" paperSize="9" r:id="rId1"/>
  <headerFooter alignWithMargins="0">
    <oddHeader>&amp;C&amp;"Times New Roman,Bold"&amp;14 2.3. YFIRLIT YFIR LÍFEYRISSJÓÐAKERFI</oddHeader>
    <oddFooter>&amp;R&amp;"Times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HL6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5" sqref="B25"/>
    </sheetView>
  </sheetViews>
  <sheetFormatPr defaultColWidth="9.00390625" defaultRowHeight="12.75"/>
  <cols>
    <col min="1" max="1" width="27.00390625" style="91" customWidth="1"/>
    <col min="2" max="2" width="9.875" style="91" bestFit="1" customWidth="1"/>
    <col min="3" max="3" width="7.875" style="92" customWidth="1"/>
    <col min="4" max="4" width="9.125" style="91" customWidth="1"/>
    <col min="5" max="9" width="7.875" style="92" customWidth="1"/>
    <col min="10" max="10" width="10.50390625" style="91" bestFit="1" customWidth="1"/>
    <col min="11" max="11" width="7.875" style="92" customWidth="1"/>
    <col min="12" max="12" width="10.375" style="91" bestFit="1" customWidth="1"/>
    <col min="13" max="15" width="7.875" style="92" customWidth="1"/>
    <col min="16" max="16" width="9.125" style="91" bestFit="1" customWidth="1"/>
    <col min="17" max="17" width="7.875" style="92" customWidth="1"/>
    <col min="18" max="18" width="9.875" style="91" bestFit="1" customWidth="1"/>
    <col min="19" max="19" width="9.125" style="92" bestFit="1" customWidth="1"/>
    <col min="20" max="20" width="9.875" style="91" bestFit="1" customWidth="1"/>
    <col min="21" max="21" width="9.125" style="92" bestFit="1" customWidth="1"/>
    <col min="22" max="22" width="9.75390625" style="91" bestFit="1" customWidth="1"/>
    <col min="23" max="23" width="9.125" style="92" bestFit="1" customWidth="1"/>
    <col min="24" max="24" width="9.00390625" style="92" customWidth="1"/>
    <col min="25" max="25" width="9.00390625" style="91" customWidth="1"/>
    <col min="26" max="26" width="7.875" style="92" customWidth="1"/>
    <col min="27" max="27" width="9.00390625" style="91" customWidth="1"/>
    <col min="28" max="28" width="7.875" style="92" customWidth="1"/>
    <col min="29" max="30" width="9.00390625" style="91" customWidth="1"/>
    <col min="31" max="31" width="7.875" style="92" customWidth="1"/>
    <col min="32" max="35" width="9.00390625" style="91" customWidth="1"/>
    <col min="36" max="36" width="7.875" style="92" customWidth="1"/>
    <col min="37" max="37" width="9.00390625" style="91" customWidth="1"/>
    <col min="38" max="38" width="7.875" style="92" customWidth="1"/>
    <col min="39" max="39" width="9.00390625" style="91" customWidth="1"/>
    <col min="40" max="40" width="7.875" style="92" customWidth="1"/>
    <col min="41" max="41" width="9.00390625" style="91" customWidth="1"/>
    <col min="42" max="42" width="7.875" style="92" customWidth="1"/>
    <col min="43" max="44" width="9.00390625" style="91" customWidth="1"/>
    <col min="45" max="45" width="7.875" style="92" customWidth="1"/>
    <col min="46" max="46" width="9.00390625" style="91" customWidth="1"/>
    <col min="47" max="47" width="7.875" style="92" customWidth="1"/>
    <col min="48" max="48" width="9.00390625" style="91" customWidth="1"/>
    <col min="49" max="49" width="7.875" style="92" customWidth="1"/>
    <col min="50" max="51" width="9.00390625" style="91" customWidth="1"/>
    <col min="52" max="52" width="8.75390625" style="92" customWidth="1"/>
    <col min="53" max="54" width="9.00390625" style="91" customWidth="1"/>
    <col min="55" max="55" width="7.875" style="92" customWidth="1"/>
    <col min="56" max="56" width="9.00390625" style="91" customWidth="1"/>
    <col min="57" max="57" width="7.875" style="92" customWidth="1"/>
    <col min="58" max="58" width="9.00390625" style="91" customWidth="1"/>
    <col min="59" max="59" width="7.875" style="92" customWidth="1"/>
    <col min="60" max="60" width="9.00390625" style="91" customWidth="1"/>
    <col min="61" max="61" width="7.875" style="92" customWidth="1"/>
    <col min="62" max="63" width="9.00390625" style="91" customWidth="1"/>
    <col min="64" max="65" width="7.875" style="92" customWidth="1"/>
    <col min="66" max="70" width="9.00390625" style="91" customWidth="1"/>
    <col min="71" max="73" width="7.875" style="92" customWidth="1"/>
    <col min="74" max="76" width="9.00390625" style="91" customWidth="1"/>
    <col min="77" max="77" width="7.875" style="92" customWidth="1"/>
    <col min="78" max="78" width="9.00390625" style="91" customWidth="1"/>
    <col min="79" max="80" width="7.875" style="92" customWidth="1"/>
    <col min="81" max="82" width="9.00390625" style="91" customWidth="1"/>
    <col min="83" max="83" width="7.875" style="92" customWidth="1"/>
    <col min="84" max="94" width="9.00390625" style="91" customWidth="1"/>
    <col min="95" max="95" width="7.875" style="92" customWidth="1"/>
    <col min="96" max="97" width="9.00390625" style="91" customWidth="1"/>
    <col min="98" max="98" width="7.375" style="91" customWidth="1"/>
    <col min="99" max="99" width="1.25" style="91" customWidth="1"/>
    <col min="100" max="100" width="10.25390625" style="91" customWidth="1"/>
    <col min="101" max="101" width="2.25390625" style="91" customWidth="1"/>
    <col min="102" max="102" width="10.50390625" style="91" customWidth="1"/>
    <col min="103" max="103" width="10.875" style="91" customWidth="1"/>
    <col min="104" max="104" width="6.375" style="91" customWidth="1"/>
    <col min="105" max="16384" width="9.00390625" style="91" customWidth="1"/>
  </cols>
  <sheetData>
    <row r="1" spans="1:104" ht="12.75" customHeight="1">
      <c r="A1" s="30"/>
      <c r="B1" s="88" t="s">
        <v>0</v>
      </c>
      <c r="C1" s="89" t="s">
        <v>0</v>
      </c>
      <c r="D1" s="88" t="s">
        <v>0</v>
      </c>
      <c r="E1" s="89" t="s">
        <v>0</v>
      </c>
      <c r="F1" s="89" t="s">
        <v>0</v>
      </c>
      <c r="G1" s="89" t="s">
        <v>0</v>
      </c>
      <c r="H1" s="89" t="s">
        <v>0</v>
      </c>
      <c r="I1" s="89" t="s">
        <v>0</v>
      </c>
      <c r="J1" s="88" t="s">
        <v>0</v>
      </c>
      <c r="K1" s="89" t="s">
        <v>0</v>
      </c>
      <c r="L1" s="88" t="s">
        <v>1</v>
      </c>
      <c r="M1" s="89" t="s">
        <v>1</v>
      </c>
      <c r="N1" s="89" t="s">
        <v>1</v>
      </c>
      <c r="O1" s="89" t="s">
        <v>1</v>
      </c>
      <c r="P1" s="88" t="s">
        <v>0</v>
      </c>
      <c r="Q1" s="89" t="s">
        <v>0</v>
      </c>
      <c r="R1" s="88" t="s">
        <v>0</v>
      </c>
      <c r="S1" s="89" t="s">
        <v>0</v>
      </c>
      <c r="T1" s="88" t="s">
        <v>2</v>
      </c>
      <c r="U1" s="89" t="s">
        <v>2</v>
      </c>
      <c r="V1" s="88" t="s">
        <v>0</v>
      </c>
      <c r="W1" s="89" t="s">
        <v>0</v>
      </c>
      <c r="X1" s="89" t="s">
        <v>0</v>
      </c>
      <c r="Y1" s="88" t="s">
        <v>0</v>
      </c>
      <c r="Z1" s="89" t="s">
        <v>0</v>
      </c>
      <c r="AA1" s="88" t="s">
        <v>3</v>
      </c>
      <c r="AB1" s="89" t="s">
        <v>3</v>
      </c>
      <c r="AC1" s="88" t="s">
        <v>0</v>
      </c>
      <c r="AD1" s="88" t="s">
        <v>0</v>
      </c>
      <c r="AE1" s="89" t="s">
        <v>0</v>
      </c>
      <c r="AF1" s="88" t="s">
        <v>0</v>
      </c>
      <c r="AG1" s="88" t="s">
        <v>0</v>
      </c>
      <c r="AH1" s="88" t="s">
        <v>0</v>
      </c>
      <c r="AI1" s="90" t="s">
        <v>0</v>
      </c>
      <c r="AJ1" s="89" t="s">
        <v>0</v>
      </c>
      <c r="AK1" s="88" t="s">
        <v>0</v>
      </c>
      <c r="AL1" s="89" t="s">
        <v>0</v>
      </c>
      <c r="AM1" s="88" t="s">
        <v>5</v>
      </c>
      <c r="AN1" s="89" t="s">
        <v>5</v>
      </c>
      <c r="AO1" s="88" t="s">
        <v>7</v>
      </c>
      <c r="AP1" s="89" t="s">
        <v>7</v>
      </c>
      <c r="AQ1" s="88" t="s">
        <v>0</v>
      </c>
      <c r="AR1" s="88" t="s">
        <v>0</v>
      </c>
      <c r="AS1" s="89" t="s">
        <v>0</v>
      </c>
      <c r="AT1" s="88" t="s">
        <v>303</v>
      </c>
      <c r="AU1" s="89" t="s">
        <v>303</v>
      </c>
      <c r="AV1" s="88" t="s">
        <v>6</v>
      </c>
      <c r="AW1" s="89" t="s">
        <v>6</v>
      </c>
      <c r="AX1" s="88" t="s">
        <v>0</v>
      </c>
      <c r="AY1" s="88" t="s">
        <v>0</v>
      </c>
      <c r="AZ1" s="89" t="s">
        <v>0</v>
      </c>
      <c r="BA1" s="88" t="s">
        <v>0</v>
      </c>
      <c r="BB1" s="88" t="s">
        <v>8</v>
      </c>
      <c r="BC1" s="89" t="s">
        <v>8</v>
      </c>
      <c r="BD1" s="88" t="s">
        <v>0</v>
      </c>
      <c r="BE1" s="89" t="s">
        <v>0</v>
      </c>
      <c r="BF1" s="88" t="s">
        <v>6</v>
      </c>
      <c r="BG1" s="89" t="s">
        <v>6</v>
      </c>
      <c r="BH1" s="88" t="s">
        <v>0</v>
      </c>
      <c r="BI1" s="89" t="s">
        <v>0</v>
      </c>
      <c r="BJ1" s="88" t="s">
        <v>0</v>
      </c>
      <c r="BK1" s="88" t="s">
        <v>0</v>
      </c>
      <c r="BL1" s="89" t="s">
        <v>0</v>
      </c>
      <c r="BM1" s="89" t="s">
        <v>0</v>
      </c>
      <c r="BN1" s="88" t="s">
        <v>4</v>
      </c>
      <c r="BO1" s="88" t="s">
        <v>0</v>
      </c>
      <c r="BP1" s="88" t="s">
        <v>0</v>
      </c>
      <c r="BQ1" s="88" t="s">
        <v>0</v>
      </c>
      <c r="BR1" s="88" t="s">
        <v>0</v>
      </c>
      <c r="BS1" s="89" t="s">
        <v>0</v>
      </c>
      <c r="BT1" s="89" t="s">
        <v>0</v>
      </c>
      <c r="BU1" s="89" t="s">
        <v>0</v>
      </c>
      <c r="BV1" s="88" t="s">
        <v>4</v>
      </c>
      <c r="BW1" s="88" t="s">
        <v>0</v>
      </c>
      <c r="BX1" s="88" t="s">
        <v>50</v>
      </c>
      <c r="BY1" s="89" t="s">
        <v>50</v>
      </c>
      <c r="BZ1" s="88" t="s">
        <v>4</v>
      </c>
      <c r="CA1" s="89" t="s">
        <v>4</v>
      </c>
      <c r="CB1" s="89" t="s">
        <v>4</v>
      </c>
      <c r="CC1" s="88" t="s">
        <v>0</v>
      </c>
      <c r="CD1" s="88" t="s">
        <v>0</v>
      </c>
      <c r="CE1" s="89" t="s">
        <v>0</v>
      </c>
      <c r="CF1" s="88" t="s">
        <v>0</v>
      </c>
      <c r="CG1" s="88" t="s">
        <v>0</v>
      </c>
      <c r="CH1" s="88" t="s">
        <v>4</v>
      </c>
      <c r="CI1" s="88" t="s">
        <v>4</v>
      </c>
      <c r="CJ1" s="88" t="s">
        <v>4</v>
      </c>
      <c r="CK1" s="88" t="s">
        <v>0</v>
      </c>
      <c r="CL1" s="88" t="s">
        <v>6</v>
      </c>
      <c r="CM1" s="88" t="s">
        <v>0</v>
      </c>
      <c r="CN1" s="88" t="s">
        <v>0</v>
      </c>
      <c r="CO1" s="88" t="s">
        <v>4</v>
      </c>
      <c r="CP1" s="88" t="s">
        <v>9</v>
      </c>
      <c r="CQ1" s="89" t="s">
        <v>9</v>
      </c>
      <c r="CR1" s="88" t="s">
        <v>0</v>
      </c>
      <c r="CS1" s="88" t="s">
        <v>0</v>
      </c>
      <c r="CT1" s="88"/>
      <c r="CV1" s="90" t="s">
        <v>10</v>
      </c>
      <c r="CW1" s="90"/>
      <c r="CX1" s="90" t="s">
        <v>0</v>
      </c>
      <c r="CY1" s="90" t="s">
        <v>0</v>
      </c>
      <c r="CZ1" s="90"/>
    </row>
    <row r="2" spans="1:104" ht="12.75">
      <c r="A2" s="27" t="s">
        <v>11</v>
      </c>
      <c r="B2" s="88" t="s">
        <v>12</v>
      </c>
      <c r="C2" s="89" t="s">
        <v>12</v>
      </c>
      <c r="D2" s="88" t="s">
        <v>413</v>
      </c>
      <c r="E2" s="89" t="s">
        <v>413</v>
      </c>
      <c r="F2" s="89" t="s">
        <v>413</v>
      </c>
      <c r="G2" s="89" t="s">
        <v>413</v>
      </c>
      <c r="H2" s="89" t="s">
        <v>413</v>
      </c>
      <c r="I2" s="89" t="s">
        <v>413</v>
      </c>
      <c r="J2" s="88" t="s">
        <v>16</v>
      </c>
      <c r="K2" s="89" t="s">
        <v>16</v>
      </c>
      <c r="L2" s="88" t="s">
        <v>15</v>
      </c>
      <c r="M2" s="89" t="s">
        <v>15</v>
      </c>
      <c r="N2" s="89" t="s">
        <v>15</v>
      </c>
      <c r="O2" s="89" t="s">
        <v>15</v>
      </c>
      <c r="P2" s="88" t="s">
        <v>13</v>
      </c>
      <c r="Q2" s="89" t="s">
        <v>13</v>
      </c>
      <c r="R2" s="88" t="s">
        <v>17</v>
      </c>
      <c r="S2" s="89" t="s">
        <v>17</v>
      </c>
      <c r="T2" s="88" t="s">
        <v>15</v>
      </c>
      <c r="U2" s="89" t="s">
        <v>15</v>
      </c>
      <c r="V2" s="88" t="s">
        <v>311</v>
      </c>
      <c r="W2" s="89" t="s">
        <v>311</v>
      </c>
      <c r="X2" s="89" t="s">
        <v>311</v>
      </c>
      <c r="Y2" s="88" t="s">
        <v>268</v>
      </c>
      <c r="Z2" s="89" t="s">
        <v>268</v>
      </c>
      <c r="AA2" s="88" t="s">
        <v>15</v>
      </c>
      <c r="AB2" s="89" t="s">
        <v>15</v>
      </c>
      <c r="AC2" s="88" t="s">
        <v>19</v>
      </c>
      <c r="AD2" s="88" t="s">
        <v>20</v>
      </c>
      <c r="AE2" s="89" t="s">
        <v>20</v>
      </c>
      <c r="AF2" s="88" t="s">
        <v>22</v>
      </c>
      <c r="AG2" s="88" t="s">
        <v>18</v>
      </c>
      <c r="AH2" s="88" t="s">
        <v>21</v>
      </c>
      <c r="AI2" s="90" t="s">
        <v>322</v>
      </c>
      <c r="AJ2" s="89" t="s">
        <v>322</v>
      </c>
      <c r="AK2" s="88" t="s">
        <v>23</v>
      </c>
      <c r="AL2" s="89" t="s">
        <v>23</v>
      </c>
      <c r="AM2" s="88" t="s">
        <v>15</v>
      </c>
      <c r="AN2" s="89" t="s">
        <v>15</v>
      </c>
      <c r="AO2" s="88" t="s">
        <v>30</v>
      </c>
      <c r="AP2" s="89" t="s">
        <v>30</v>
      </c>
      <c r="AQ2" s="88" t="s">
        <v>25</v>
      </c>
      <c r="AR2" s="88" t="s">
        <v>24</v>
      </c>
      <c r="AS2" s="89" t="s">
        <v>24</v>
      </c>
      <c r="AT2" s="88" t="s">
        <v>46</v>
      </c>
      <c r="AU2" s="89" t="s">
        <v>46</v>
      </c>
      <c r="AV2" s="88" t="s">
        <v>29</v>
      </c>
      <c r="AW2" s="89" t="s">
        <v>29</v>
      </c>
      <c r="AX2" s="88" t="s">
        <v>14</v>
      </c>
      <c r="AY2" s="88" t="s">
        <v>313</v>
      </c>
      <c r="AZ2" s="89" t="s">
        <v>313</v>
      </c>
      <c r="BA2" s="88" t="s">
        <v>71</v>
      </c>
      <c r="BB2" s="88" t="s">
        <v>15</v>
      </c>
      <c r="BC2" s="89" t="s">
        <v>15</v>
      </c>
      <c r="BD2" s="88" t="s">
        <v>26</v>
      </c>
      <c r="BE2" s="89" t="s">
        <v>26</v>
      </c>
      <c r="BF2" s="88" t="s">
        <v>29</v>
      </c>
      <c r="BG2" s="89" t="s">
        <v>29</v>
      </c>
      <c r="BH2" s="88" t="s">
        <v>27</v>
      </c>
      <c r="BI2" s="89" t="s">
        <v>27</v>
      </c>
      <c r="BJ2" s="88" t="s">
        <v>14</v>
      </c>
      <c r="BK2" s="88" t="s">
        <v>28</v>
      </c>
      <c r="BL2" s="89" t="s">
        <v>28</v>
      </c>
      <c r="BM2" s="89" t="s">
        <v>28</v>
      </c>
      <c r="BN2" s="88" t="s">
        <v>14</v>
      </c>
      <c r="BO2" s="88" t="s">
        <v>31</v>
      </c>
      <c r="BP2" s="88" t="s">
        <v>32</v>
      </c>
      <c r="BQ2" s="88" t="s">
        <v>33</v>
      </c>
      <c r="BR2" s="88" t="s">
        <v>14</v>
      </c>
      <c r="BS2" s="89" t="s">
        <v>14</v>
      </c>
      <c r="BT2" s="89" t="s">
        <v>14</v>
      </c>
      <c r="BU2" s="89" t="s">
        <v>14</v>
      </c>
      <c r="BV2" s="88" t="s">
        <v>34</v>
      </c>
      <c r="BW2" s="88" t="s">
        <v>36</v>
      </c>
      <c r="BX2" s="88" t="s">
        <v>15</v>
      </c>
      <c r="BY2" s="89" t="s">
        <v>15</v>
      </c>
      <c r="BZ2" s="88" t="s">
        <v>37</v>
      </c>
      <c r="CA2" s="89" t="s">
        <v>37</v>
      </c>
      <c r="CB2" s="89" t="s">
        <v>37</v>
      </c>
      <c r="CC2" s="88" t="s">
        <v>35</v>
      </c>
      <c r="CD2" s="88" t="s">
        <v>39</v>
      </c>
      <c r="CE2" s="89" t="s">
        <v>39</v>
      </c>
      <c r="CF2" s="88" t="s">
        <v>38</v>
      </c>
      <c r="CG2" s="88" t="s">
        <v>41</v>
      </c>
      <c r="CH2" s="88" t="s">
        <v>40</v>
      </c>
      <c r="CI2" s="88" t="s">
        <v>42</v>
      </c>
      <c r="CJ2" s="88" t="s">
        <v>298</v>
      </c>
      <c r="CK2" s="88" t="s">
        <v>14</v>
      </c>
      <c r="CL2" s="88" t="s">
        <v>29</v>
      </c>
      <c r="CM2" s="88" t="s">
        <v>43</v>
      </c>
      <c r="CN2" s="88" t="s">
        <v>45</v>
      </c>
      <c r="CO2" s="88" t="s">
        <v>44</v>
      </c>
      <c r="CP2" s="88" t="s">
        <v>46</v>
      </c>
      <c r="CQ2" s="89" t="s">
        <v>46</v>
      </c>
      <c r="CR2" s="88" t="s">
        <v>47</v>
      </c>
      <c r="CS2" s="88" t="s">
        <v>48</v>
      </c>
      <c r="CT2" s="88"/>
      <c r="CV2" s="90" t="s">
        <v>49</v>
      </c>
      <c r="CW2" s="90"/>
      <c r="CX2" s="90" t="s">
        <v>310</v>
      </c>
      <c r="CY2" s="90" t="s">
        <v>349</v>
      </c>
      <c r="CZ2" s="90"/>
    </row>
    <row r="3" spans="1:104" ht="12.75">
      <c r="A3" s="30"/>
      <c r="B3" s="88" t="s">
        <v>51</v>
      </c>
      <c r="C3" s="89" t="s">
        <v>51</v>
      </c>
      <c r="D3" s="88" t="s">
        <v>424</v>
      </c>
      <c r="E3" s="92" t="s">
        <v>135</v>
      </c>
      <c r="F3" s="92" t="s">
        <v>135</v>
      </c>
      <c r="G3" s="93" t="s">
        <v>416</v>
      </c>
      <c r="H3" s="93" t="s">
        <v>418</v>
      </c>
      <c r="I3" s="93" t="s">
        <v>436</v>
      </c>
      <c r="J3" s="88" t="s">
        <v>135</v>
      </c>
      <c r="K3" s="93" t="s">
        <v>436</v>
      </c>
      <c r="L3" s="88" t="s">
        <v>29</v>
      </c>
      <c r="M3" s="89" t="s">
        <v>29</v>
      </c>
      <c r="N3" s="89" t="s">
        <v>29</v>
      </c>
      <c r="O3" s="89" t="s">
        <v>29</v>
      </c>
      <c r="P3" s="88" t="s">
        <v>135</v>
      </c>
      <c r="Q3" s="93" t="s">
        <v>460</v>
      </c>
      <c r="R3" s="88" t="s">
        <v>53</v>
      </c>
      <c r="S3" s="89" t="s">
        <v>53</v>
      </c>
      <c r="T3" s="88" t="s">
        <v>52</v>
      </c>
      <c r="U3" s="89" t="s">
        <v>52</v>
      </c>
      <c r="V3" s="88" t="s">
        <v>66</v>
      </c>
      <c r="W3" s="89" t="s">
        <v>66</v>
      </c>
      <c r="X3" s="89" t="s">
        <v>66</v>
      </c>
      <c r="Y3" s="88" t="s">
        <v>135</v>
      </c>
      <c r="Z3" s="93" t="s">
        <v>436</v>
      </c>
      <c r="AA3" s="88" t="s">
        <v>29</v>
      </c>
      <c r="AB3" s="89" t="s">
        <v>29</v>
      </c>
      <c r="AC3" s="88" t="s">
        <v>53</v>
      </c>
      <c r="AD3" s="88" t="s">
        <v>54</v>
      </c>
      <c r="AE3" s="89" t="s">
        <v>54</v>
      </c>
      <c r="AF3" s="88" t="s">
        <v>135</v>
      </c>
      <c r="AG3" s="88" t="s">
        <v>135</v>
      </c>
      <c r="AH3" s="88" t="s">
        <v>55</v>
      </c>
      <c r="AI3" s="90" t="s">
        <v>321</v>
      </c>
      <c r="AJ3" s="89" t="s">
        <v>321</v>
      </c>
      <c r="AK3" s="88" t="s">
        <v>300</v>
      </c>
      <c r="AL3" s="89" t="s">
        <v>300</v>
      </c>
      <c r="AM3" s="88" t="s">
        <v>29</v>
      </c>
      <c r="AN3" s="89" t="s">
        <v>29</v>
      </c>
      <c r="AO3" s="88" t="s">
        <v>62</v>
      </c>
      <c r="AP3" s="89" t="s">
        <v>62</v>
      </c>
      <c r="AQ3" s="88" t="s">
        <v>203</v>
      </c>
      <c r="AR3" s="88" t="s">
        <v>53</v>
      </c>
      <c r="AS3" s="89" t="s">
        <v>53</v>
      </c>
      <c r="AT3" s="88" t="s">
        <v>304</v>
      </c>
      <c r="AU3" s="89" t="s">
        <v>304</v>
      </c>
      <c r="AV3" s="88" t="s">
        <v>77</v>
      </c>
      <c r="AW3" s="89" t="s">
        <v>77</v>
      </c>
      <c r="AX3" s="88" t="s">
        <v>323</v>
      </c>
      <c r="AY3" s="88" t="s">
        <v>314</v>
      </c>
      <c r="AZ3" s="89" t="s">
        <v>314</v>
      </c>
      <c r="BA3" s="88"/>
      <c r="BB3" s="88" t="s">
        <v>73</v>
      </c>
      <c r="BC3" s="89" t="s">
        <v>73</v>
      </c>
      <c r="BD3" s="88" t="s">
        <v>57</v>
      </c>
      <c r="BE3" s="89" t="s">
        <v>57</v>
      </c>
      <c r="BF3" s="88" t="s">
        <v>61</v>
      </c>
      <c r="BG3" s="89" t="s">
        <v>61</v>
      </c>
      <c r="BH3" s="88"/>
      <c r="BI3" s="93" t="s">
        <v>436</v>
      </c>
      <c r="BJ3" s="88" t="s">
        <v>58</v>
      </c>
      <c r="BK3" s="88" t="s">
        <v>59</v>
      </c>
      <c r="BL3" s="89" t="s">
        <v>59</v>
      </c>
      <c r="BM3" s="89" t="s">
        <v>59</v>
      </c>
      <c r="BN3" s="88" t="s">
        <v>60</v>
      </c>
      <c r="BO3" s="88" t="s">
        <v>63</v>
      </c>
      <c r="BP3" s="88" t="s">
        <v>64</v>
      </c>
      <c r="BQ3" s="88"/>
      <c r="BR3" s="88" t="s">
        <v>315</v>
      </c>
      <c r="BS3" s="89" t="s">
        <v>315</v>
      </c>
      <c r="BT3" s="89" t="s">
        <v>315</v>
      </c>
      <c r="BU3" s="89" t="s">
        <v>315</v>
      </c>
      <c r="BV3" s="88" t="s">
        <v>65</v>
      </c>
      <c r="BW3" s="88" t="s">
        <v>68</v>
      </c>
      <c r="BX3" s="88" t="s">
        <v>29</v>
      </c>
      <c r="BY3" s="89" t="s">
        <v>29</v>
      </c>
      <c r="BZ3" s="88" t="s">
        <v>318</v>
      </c>
      <c r="CA3" s="89" t="s">
        <v>318</v>
      </c>
      <c r="CB3" s="89" t="s">
        <v>318</v>
      </c>
      <c r="CC3" s="88" t="s">
        <v>67</v>
      </c>
      <c r="CD3" s="88" t="s">
        <v>56</v>
      </c>
      <c r="CE3" s="89" t="s">
        <v>56</v>
      </c>
      <c r="CF3" s="88" t="s">
        <v>70</v>
      </c>
      <c r="CG3" s="88" t="s">
        <v>69</v>
      </c>
      <c r="CH3" s="88" t="s">
        <v>71</v>
      </c>
      <c r="CI3" s="88" t="s">
        <v>72</v>
      </c>
      <c r="CJ3" s="88" t="s">
        <v>76</v>
      </c>
      <c r="CK3" s="88" t="s">
        <v>74</v>
      </c>
      <c r="CL3" s="88" t="s">
        <v>75</v>
      </c>
      <c r="CM3" s="88" t="s">
        <v>78</v>
      </c>
      <c r="CN3" s="88" t="s">
        <v>80</v>
      </c>
      <c r="CO3" s="88" t="s">
        <v>79</v>
      </c>
      <c r="CP3" s="88" t="s">
        <v>81</v>
      </c>
      <c r="CQ3" s="89" t="s">
        <v>81</v>
      </c>
      <c r="CR3" s="88" t="s">
        <v>82</v>
      </c>
      <c r="CS3" s="88" t="s">
        <v>83</v>
      </c>
      <c r="CT3" s="88"/>
      <c r="CV3" s="90" t="s">
        <v>84</v>
      </c>
      <c r="CW3" s="90"/>
      <c r="CX3" s="90" t="s">
        <v>309</v>
      </c>
      <c r="CY3" s="90" t="s">
        <v>309</v>
      </c>
      <c r="CZ3" s="90"/>
    </row>
    <row r="4" spans="1:104" ht="12.75">
      <c r="A4" s="94"/>
      <c r="B4" s="95" t="s">
        <v>85</v>
      </c>
      <c r="C4" s="93" t="s">
        <v>436</v>
      </c>
      <c r="D4" s="95" t="s">
        <v>86</v>
      </c>
      <c r="E4" s="93" t="s">
        <v>414</v>
      </c>
      <c r="F4" s="93" t="s">
        <v>415</v>
      </c>
      <c r="G4" s="93" t="s">
        <v>417</v>
      </c>
      <c r="H4" s="93" t="s">
        <v>419</v>
      </c>
      <c r="I4" s="93" t="s">
        <v>419</v>
      </c>
      <c r="J4" s="95" t="s">
        <v>87</v>
      </c>
      <c r="K4" s="93" t="s">
        <v>419</v>
      </c>
      <c r="L4" s="95" t="s">
        <v>88</v>
      </c>
      <c r="M4" s="96" t="s">
        <v>426</v>
      </c>
      <c r="N4" s="93" t="s">
        <v>438</v>
      </c>
      <c r="O4" s="93" t="s">
        <v>460</v>
      </c>
      <c r="P4" s="95" t="s">
        <v>89</v>
      </c>
      <c r="Q4" s="93" t="s">
        <v>419</v>
      </c>
      <c r="R4" s="95" t="s">
        <v>90</v>
      </c>
      <c r="S4" s="96" t="s">
        <v>460</v>
      </c>
      <c r="T4" s="95" t="s">
        <v>91</v>
      </c>
      <c r="U4" s="96" t="s">
        <v>436</v>
      </c>
      <c r="V4" s="95" t="s">
        <v>92</v>
      </c>
      <c r="W4" s="96" t="s">
        <v>440</v>
      </c>
      <c r="X4" s="96" t="s">
        <v>439</v>
      </c>
      <c r="Y4" s="95" t="s">
        <v>199</v>
      </c>
      <c r="Z4" s="93" t="s">
        <v>419</v>
      </c>
      <c r="AA4" s="95" t="s">
        <v>200</v>
      </c>
      <c r="AB4" s="93" t="s">
        <v>436</v>
      </c>
      <c r="AC4" s="95" t="s">
        <v>201</v>
      </c>
      <c r="AD4" s="95" t="s">
        <v>93</v>
      </c>
      <c r="AE4" s="93" t="s">
        <v>436</v>
      </c>
      <c r="AF4" s="95" t="s">
        <v>94</v>
      </c>
      <c r="AG4" s="95" t="s">
        <v>95</v>
      </c>
      <c r="AH4" s="95" t="s">
        <v>96</v>
      </c>
      <c r="AI4" s="95" t="s">
        <v>97</v>
      </c>
      <c r="AJ4" s="93" t="s">
        <v>436</v>
      </c>
      <c r="AK4" s="95" t="s">
        <v>98</v>
      </c>
      <c r="AL4" s="93" t="s">
        <v>436</v>
      </c>
      <c r="AM4" s="95" t="s">
        <v>99</v>
      </c>
      <c r="AN4" s="93" t="s">
        <v>436</v>
      </c>
      <c r="AO4" s="95" t="s">
        <v>100</v>
      </c>
      <c r="AP4" s="93" t="s">
        <v>436</v>
      </c>
      <c r="AQ4" s="95" t="s">
        <v>101</v>
      </c>
      <c r="AR4" s="95" t="s">
        <v>102</v>
      </c>
      <c r="AS4" s="93" t="s">
        <v>436</v>
      </c>
      <c r="AT4" s="95" t="s">
        <v>103</v>
      </c>
      <c r="AU4" s="93" t="s">
        <v>436</v>
      </c>
      <c r="AV4" s="95" t="s">
        <v>104</v>
      </c>
      <c r="AW4" s="93" t="s">
        <v>436</v>
      </c>
      <c r="AX4" s="95" t="s">
        <v>105</v>
      </c>
      <c r="AY4" s="95" t="s">
        <v>106</v>
      </c>
      <c r="AZ4" s="93" t="s">
        <v>436</v>
      </c>
      <c r="BA4" s="95" t="s">
        <v>361</v>
      </c>
      <c r="BB4" s="95" t="s">
        <v>107</v>
      </c>
      <c r="BC4" s="93" t="s">
        <v>436</v>
      </c>
      <c r="BD4" s="95" t="s">
        <v>108</v>
      </c>
      <c r="BE4" s="93" t="s">
        <v>436</v>
      </c>
      <c r="BF4" s="95" t="s">
        <v>109</v>
      </c>
      <c r="BG4" s="93" t="s">
        <v>436</v>
      </c>
      <c r="BH4" s="95" t="s">
        <v>110</v>
      </c>
      <c r="BI4" s="93" t="s">
        <v>419</v>
      </c>
      <c r="BJ4" s="95" t="s">
        <v>111</v>
      </c>
      <c r="BK4" s="95" t="s">
        <v>112</v>
      </c>
      <c r="BL4" s="93" t="s">
        <v>445</v>
      </c>
      <c r="BM4" s="93" t="s">
        <v>446</v>
      </c>
      <c r="BN4" s="95" t="s">
        <v>113</v>
      </c>
      <c r="BO4" s="95" t="s">
        <v>114</v>
      </c>
      <c r="BP4" s="95" t="s">
        <v>115</v>
      </c>
      <c r="BQ4" s="95" t="s">
        <v>116</v>
      </c>
      <c r="BR4" s="95" t="s">
        <v>430</v>
      </c>
      <c r="BS4" s="93" t="s">
        <v>415</v>
      </c>
      <c r="BT4" s="93" t="s">
        <v>441</v>
      </c>
      <c r="BU4" s="93" t="s">
        <v>436</v>
      </c>
      <c r="BV4" s="95" t="s">
        <v>117</v>
      </c>
      <c r="BW4" s="95" t="s">
        <v>118</v>
      </c>
      <c r="BX4" s="95" t="s">
        <v>119</v>
      </c>
      <c r="BY4" s="93" t="s">
        <v>436</v>
      </c>
      <c r="BZ4" s="95" t="s">
        <v>120</v>
      </c>
      <c r="CA4" s="93" t="s">
        <v>415</v>
      </c>
      <c r="CB4" s="93" t="s">
        <v>414</v>
      </c>
      <c r="CC4" s="95" t="s">
        <v>121</v>
      </c>
      <c r="CD4" s="95" t="s">
        <v>122</v>
      </c>
      <c r="CE4" s="93" t="s">
        <v>436</v>
      </c>
      <c r="CF4" s="95" t="s">
        <v>123</v>
      </c>
      <c r="CG4" s="95" t="s">
        <v>431</v>
      </c>
      <c r="CH4" s="95" t="s">
        <v>124</v>
      </c>
      <c r="CI4" s="95" t="s">
        <v>125</v>
      </c>
      <c r="CJ4" s="95" t="s">
        <v>126</v>
      </c>
      <c r="CK4" s="95" t="s">
        <v>127</v>
      </c>
      <c r="CL4" s="95" t="s">
        <v>128</v>
      </c>
      <c r="CM4" s="95" t="s">
        <v>129</v>
      </c>
      <c r="CN4" s="95" t="s">
        <v>130</v>
      </c>
      <c r="CO4" s="95" t="s">
        <v>205</v>
      </c>
      <c r="CP4" s="95" t="s">
        <v>432</v>
      </c>
      <c r="CQ4" s="93" t="s">
        <v>436</v>
      </c>
      <c r="CR4" s="95" t="s">
        <v>131</v>
      </c>
      <c r="CS4" s="95" t="s">
        <v>132</v>
      </c>
      <c r="CT4" s="95"/>
      <c r="CV4" s="97"/>
      <c r="CW4" s="97"/>
      <c r="CX4" s="97" t="s">
        <v>378</v>
      </c>
      <c r="CY4" s="97" t="s">
        <v>443</v>
      </c>
      <c r="CZ4" s="97"/>
    </row>
    <row r="5" spans="1:104" ht="12.75">
      <c r="A5" s="98" t="s">
        <v>242</v>
      </c>
      <c r="B5" s="99"/>
      <c r="C5" s="93" t="s">
        <v>419</v>
      </c>
      <c r="D5" s="99"/>
      <c r="E5" s="100"/>
      <c r="F5" s="100"/>
      <c r="G5" s="100"/>
      <c r="H5" s="100"/>
      <c r="I5" s="100"/>
      <c r="J5" s="99"/>
      <c r="K5" s="100"/>
      <c r="L5" s="99"/>
      <c r="M5" s="100"/>
      <c r="N5" s="93" t="s">
        <v>419</v>
      </c>
      <c r="O5" s="93" t="s">
        <v>419</v>
      </c>
      <c r="P5" s="99"/>
      <c r="Q5" s="100"/>
      <c r="R5" s="99"/>
      <c r="S5" s="96" t="s">
        <v>419</v>
      </c>
      <c r="T5" s="99"/>
      <c r="U5" s="96" t="s">
        <v>419</v>
      </c>
      <c r="V5" s="99"/>
      <c r="W5" s="96" t="s">
        <v>419</v>
      </c>
      <c r="X5" s="96" t="s">
        <v>419</v>
      </c>
      <c r="Y5" s="99"/>
      <c r="Z5" s="100"/>
      <c r="AA5" s="99"/>
      <c r="AB5" s="93" t="s">
        <v>419</v>
      </c>
      <c r="AC5" s="99"/>
      <c r="AD5" s="99"/>
      <c r="AE5" s="93" t="s">
        <v>419</v>
      </c>
      <c r="AF5" s="99"/>
      <c r="AG5" s="99"/>
      <c r="AH5" s="99"/>
      <c r="AI5" s="99"/>
      <c r="AJ5" s="93" t="s">
        <v>419</v>
      </c>
      <c r="AK5" s="99"/>
      <c r="AL5" s="93" t="s">
        <v>419</v>
      </c>
      <c r="AM5" s="99"/>
      <c r="AN5" s="93" t="s">
        <v>419</v>
      </c>
      <c r="AO5" s="99"/>
      <c r="AP5" s="93" t="s">
        <v>419</v>
      </c>
      <c r="AQ5" s="99"/>
      <c r="AR5" s="99"/>
      <c r="AS5" s="93" t="s">
        <v>419</v>
      </c>
      <c r="AT5" s="99"/>
      <c r="AU5" s="93" t="s">
        <v>419</v>
      </c>
      <c r="AV5" s="99"/>
      <c r="AW5" s="93" t="s">
        <v>419</v>
      </c>
      <c r="AX5" s="99"/>
      <c r="AY5" s="99"/>
      <c r="AZ5" s="93" t="s">
        <v>419</v>
      </c>
      <c r="BA5" s="99"/>
      <c r="BB5" s="99"/>
      <c r="BC5" s="93" t="s">
        <v>419</v>
      </c>
      <c r="BD5" s="99"/>
      <c r="BE5" s="93" t="s">
        <v>419</v>
      </c>
      <c r="BF5" s="99"/>
      <c r="BG5" s="93" t="s">
        <v>419</v>
      </c>
      <c r="BH5" s="99"/>
      <c r="BI5" s="100"/>
      <c r="BJ5" s="99"/>
      <c r="BK5" s="99"/>
      <c r="BL5" s="93"/>
      <c r="BM5" s="93"/>
      <c r="BN5" s="99"/>
      <c r="BO5" s="99"/>
      <c r="BP5" s="99"/>
      <c r="BQ5" s="99"/>
      <c r="BR5" s="99"/>
      <c r="BS5" s="93"/>
      <c r="BT5" s="93"/>
      <c r="BU5" s="93" t="s">
        <v>419</v>
      </c>
      <c r="BV5" s="99"/>
      <c r="BW5" s="99"/>
      <c r="BX5" s="99"/>
      <c r="BY5" s="93" t="s">
        <v>419</v>
      </c>
      <c r="BZ5" s="99"/>
      <c r="CA5" s="93"/>
      <c r="CB5" s="93"/>
      <c r="CC5" s="99"/>
      <c r="CD5" s="99"/>
      <c r="CE5" s="93" t="s">
        <v>419</v>
      </c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3" t="s">
        <v>419</v>
      </c>
      <c r="CR5" s="99"/>
      <c r="CS5" s="99"/>
      <c r="CT5" s="99"/>
      <c r="CV5" s="101"/>
      <c r="CW5" s="101"/>
      <c r="CX5" s="101"/>
      <c r="CY5" s="101"/>
      <c r="CZ5" s="101"/>
    </row>
    <row r="6" spans="1:104" ht="6" customHeight="1">
      <c r="A6" s="98"/>
      <c r="B6" s="99"/>
      <c r="C6" s="100"/>
      <c r="D6" s="99"/>
      <c r="E6" s="100"/>
      <c r="F6" s="100"/>
      <c r="G6" s="100"/>
      <c r="H6" s="100"/>
      <c r="I6" s="100"/>
      <c r="J6" s="99"/>
      <c r="K6" s="100"/>
      <c r="L6" s="99"/>
      <c r="M6" s="100"/>
      <c r="N6" s="100"/>
      <c r="O6" s="100"/>
      <c r="P6" s="99"/>
      <c r="Q6" s="100"/>
      <c r="R6" s="99"/>
      <c r="S6" s="100"/>
      <c r="T6" s="99"/>
      <c r="U6" s="100"/>
      <c r="V6" s="99"/>
      <c r="W6" s="100"/>
      <c r="X6" s="100"/>
      <c r="Y6" s="99"/>
      <c r="Z6" s="100"/>
      <c r="AA6" s="99"/>
      <c r="AB6" s="100"/>
      <c r="AC6" s="99"/>
      <c r="AD6" s="99"/>
      <c r="AE6" s="100"/>
      <c r="AF6" s="99"/>
      <c r="AG6" s="99"/>
      <c r="AH6" s="99"/>
      <c r="AI6" s="99"/>
      <c r="AJ6" s="100"/>
      <c r="AK6" s="99"/>
      <c r="AL6" s="100"/>
      <c r="AM6" s="99"/>
      <c r="AN6" s="100"/>
      <c r="AO6" s="99"/>
      <c r="AP6" s="100"/>
      <c r="AQ6" s="99"/>
      <c r="AR6" s="99"/>
      <c r="AS6" s="100"/>
      <c r="AT6" s="99"/>
      <c r="AU6" s="100"/>
      <c r="AV6" s="99"/>
      <c r="AW6" s="100"/>
      <c r="AX6" s="99"/>
      <c r="AY6" s="99"/>
      <c r="AZ6" s="100"/>
      <c r="BA6" s="99"/>
      <c r="BB6" s="99"/>
      <c r="BC6" s="100"/>
      <c r="BD6" s="99"/>
      <c r="BE6" s="100"/>
      <c r="BF6" s="99"/>
      <c r="BG6" s="100"/>
      <c r="BH6" s="99"/>
      <c r="BI6" s="100"/>
      <c r="BJ6" s="99"/>
      <c r="BK6" s="99"/>
      <c r="BL6" s="100"/>
      <c r="BM6" s="100"/>
      <c r="BN6" s="99"/>
      <c r="BO6" s="99"/>
      <c r="BP6" s="99"/>
      <c r="BQ6" s="99"/>
      <c r="BR6" s="99"/>
      <c r="BS6" s="100"/>
      <c r="BT6" s="100"/>
      <c r="BU6" s="100"/>
      <c r="BV6" s="99"/>
      <c r="BW6" s="99"/>
      <c r="BX6" s="99"/>
      <c r="BY6" s="100"/>
      <c r="BZ6" s="99"/>
      <c r="CA6" s="100"/>
      <c r="CB6" s="100"/>
      <c r="CC6" s="99"/>
      <c r="CD6" s="99"/>
      <c r="CE6" s="100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100"/>
      <c r="CR6" s="99"/>
      <c r="CS6" s="99"/>
      <c r="CT6" s="99"/>
      <c r="CV6" s="101"/>
      <c r="CW6" s="101"/>
      <c r="CX6" s="101"/>
      <c r="CY6" s="101"/>
      <c r="CZ6" s="101"/>
    </row>
    <row r="7" spans="1:104" ht="15" customHeight="1">
      <c r="A7" s="102" t="s">
        <v>279</v>
      </c>
      <c r="B7" s="30">
        <v>0</v>
      </c>
      <c r="C7" s="103"/>
      <c r="D7" s="30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30">
        <v>0</v>
      </c>
      <c r="K7" s="103">
        <v>0</v>
      </c>
      <c r="L7" s="30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30">
        <v>0</v>
      </c>
      <c r="S7" s="103">
        <v>0</v>
      </c>
      <c r="T7" s="30">
        <v>0</v>
      </c>
      <c r="U7" s="103">
        <v>0</v>
      </c>
      <c r="V7" s="30">
        <v>0</v>
      </c>
      <c r="W7" s="103">
        <v>0</v>
      </c>
      <c r="X7" s="103">
        <v>0</v>
      </c>
      <c r="Y7" s="30">
        <v>0</v>
      </c>
      <c r="Z7" s="103"/>
      <c r="AA7" s="30">
        <v>0</v>
      </c>
      <c r="AB7" s="103"/>
      <c r="AC7" s="30">
        <v>0</v>
      </c>
      <c r="AD7" s="30">
        <v>0</v>
      </c>
      <c r="AE7" s="103"/>
      <c r="AF7" s="30">
        <v>0</v>
      </c>
      <c r="AG7" s="30">
        <v>0</v>
      </c>
      <c r="AH7" s="30">
        <v>0</v>
      </c>
      <c r="AI7" s="30">
        <v>0</v>
      </c>
      <c r="AJ7" s="103">
        <v>0</v>
      </c>
      <c r="AK7" s="30">
        <v>0</v>
      </c>
      <c r="AL7" s="103">
        <v>0</v>
      </c>
      <c r="AM7" s="30">
        <v>0</v>
      </c>
      <c r="AN7" s="103"/>
      <c r="AO7" s="30">
        <v>0</v>
      </c>
      <c r="AP7" s="103"/>
      <c r="AQ7" s="30">
        <v>0</v>
      </c>
      <c r="AR7" s="30">
        <v>0</v>
      </c>
      <c r="AS7" s="103">
        <v>0</v>
      </c>
      <c r="AT7" s="30">
        <v>0</v>
      </c>
      <c r="AU7" s="103">
        <v>0</v>
      </c>
      <c r="AV7" s="30">
        <v>0</v>
      </c>
      <c r="AW7" s="103"/>
      <c r="AX7" s="30">
        <v>0</v>
      </c>
      <c r="AY7" s="30">
        <v>0</v>
      </c>
      <c r="AZ7" s="103"/>
      <c r="BA7" s="30">
        <v>0</v>
      </c>
      <c r="BB7" s="30">
        <v>0</v>
      </c>
      <c r="BC7" s="103">
        <v>0</v>
      </c>
      <c r="BD7" s="30">
        <v>0</v>
      </c>
      <c r="BE7" s="103"/>
      <c r="BF7" s="30">
        <v>0</v>
      </c>
      <c r="BG7" s="103"/>
      <c r="BH7" s="30">
        <v>0</v>
      </c>
      <c r="BI7" s="103"/>
      <c r="BJ7" s="30">
        <v>0</v>
      </c>
      <c r="BK7" s="30">
        <v>0</v>
      </c>
      <c r="BL7" s="103">
        <v>0</v>
      </c>
      <c r="BM7" s="103">
        <v>0</v>
      </c>
      <c r="BN7" s="30">
        <v>0</v>
      </c>
      <c r="BO7" s="30">
        <v>0</v>
      </c>
      <c r="BP7" s="30">
        <v>0</v>
      </c>
      <c r="BQ7" s="30">
        <v>0</v>
      </c>
      <c r="BR7" s="30">
        <v>0</v>
      </c>
      <c r="BS7" s="103">
        <v>0</v>
      </c>
      <c r="BT7" s="103">
        <v>0</v>
      </c>
      <c r="BU7" s="103">
        <v>0</v>
      </c>
      <c r="BV7" s="30">
        <v>0</v>
      </c>
      <c r="BW7" s="30">
        <v>0</v>
      </c>
      <c r="BX7" s="30">
        <v>0</v>
      </c>
      <c r="BY7" s="103">
        <v>0</v>
      </c>
      <c r="BZ7" s="30">
        <v>0</v>
      </c>
      <c r="CA7" s="103">
        <v>0</v>
      </c>
      <c r="CB7" s="103">
        <v>0</v>
      </c>
      <c r="CC7" s="30">
        <v>0</v>
      </c>
      <c r="CD7" s="30">
        <v>0</v>
      </c>
      <c r="CE7" s="103"/>
      <c r="CF7" s="30">
        <v>0</v>
      </c>
      <c r="CG7" s="30">
        <v>0</v>
      </c>
      <c r="CH7" s="30">
        <v>0</v>
      </c>
      <c r="CI7" s="30">
        <v>0</v>
      </c>
      <c r="CJ7" s="30">
        <v>0</v>
      </c>
      <c r="CK7" s="30">
        <v>0</v>
      </c>
      <c r="CL7" s="30">
        <v>0</v>
      </c>
      <c r="CM7" s="30">
        <v>0</v>
      </c>
      <c r="CN7" s="30">
        <v>0</v>
      </c>
      <c r="CO7" s="30">
        <v>0</v>
      </c>
      <c r="CP7" s="30">
        <v>0</v>
      </c>
      <c r="CQ7" s="103"/>
      <c r="CR7" s="30">
        <v>0</v>
      </c>
      <c r="CS7" s="30">
        <v>0</v>
      </c>
      <c r="CT7" s="30"/>
      <c r="CV7" s="30">
        <f>+B7+D7+J7+L7+P7+R7+T7+V7+Y7+AA7+AC7+AD7+AF7+AG7+AH7+AI7+AK7+AM7+AO7+AQ7+AR7+AT7+AV7+AX7+AY7+BA7+BB7+BD7+BF7+BH7+BJ7+BK7+BN7+BO7+BP7+BQ7+BR7+BV7+BW7+BX7+BZ7+CC7+CD7+CF7+CG7+CH7+CI7+CJ7+CK7+CL7+CM7+CN7+CO7+CP7+CR7+CS7</f>
        <v>0</v>
      </c>
      <c r="CW7" s="30"/>
      <c r="CX7" s="30">
        <f>+D7+AQ7+BJ7+BN7+BR7+BW7+BZ7+CF7+CG7+CJ7+CM7+CN7+CO7+CR7</f>
        <v>0</v>
      </c>
      <c r="CY7" s="30">
        <f>+B7+J7+L7+P7+R7+T7+V7+Y7+AA7+AC7+AD7+AF7+AG7+AH7+AI7+AK7+AM7+AO7+AR7+AT7+AV7+AX7+AY7+BA7+BB7+BD7+BF7+BH7+BK7+BO7+BP7+BQ7+BV7+BX7+CC7+CD7+CH7+CI7+CK7+CL7+CP7+CS7</f>
        <v>0</v>
      </c>
      <c r="CZ7" s="30"/>
    </row>
    <row r="8" spans="1:103" ht="8.25" customHeight="1">
      <c r="A8" s="98"/>
      <c r="CV8" s="30"/>
      <c r="CW8" s="30"/>
      <c r="CX8" s="30"/>
      <c r="CY8" s="30"/>
    </row>
    <row r="9" spans="1:103" ht="12.75">
      <c r="A9" s="98" t="s">
        <v>280</v>
      </c>
      <c r="CV9" s="30"/>
      <c r="CW9" s="30"/>
      <c r="CX9" s="30"/>
      <c r="CY9" s="30"/>
    </row>
    <row r="10" spans="1:104" ht="12.75">
      <c r="A10" s="104" t="s">
        <v>464</v>
      </c>
      <c r="B10" s="85">
        <v>222994.481</v>
      </c>
      <c r="C10" s="105"/>
      <c r="D10" s="85">
        <v>132713</v>
      </c>
      <c r="E10" s="105">
        <v>66356</v>
      </c>
      <c r="F10" s="105">
        <v>66356</v>
      </c>
      <c r="G10" s="105">
        <v>0</v>
      </c>
      <c r="H10" s="105">
        <v>0</v>
      </c>
      <c r="I10" s="105">
        <v>0</v>
      </c>
      <c r="J10" s="85">
        <v>203437.342</v>
      </c>
      <c r="K10" s="105">
        <v>0</v>
      </c>
      <c r="L10" s="85">
        <v>105426</v>
      </c>
      <c r="M10" s="105">
        <v>105425.624</v>
      </c>
      <c r="N10" s="105">
        <v>0</v>
      </c>
      <c r="O10" s="105">
        <v>0</v>
      </c>
      <c r="P10" s="85">
        <v>38941.207</v>
      </c>
      <c r="Q10" s="105">
        <v>0</v>
      </c>
      <c r="R10" s="85">
        <v>0</v>
      </c>
      <c r="S10" s="105">
        <v>0</v>
      </c>
      <c r="T10" s="85">
        <v>0</v>
      </c>
      <c r="U10" s="105">
        <v>0</v>
      </c>
      <c r="V10" s="85">
        <v>0</v>
      </c>
      <c r="W10" s="105">
        <v>0</v>
      </c>
      <c r="X10" s="105">
        <v>0</v>
      </c>
      <c r="Y10" s="85">
        <v>69642.491</v>
      </c>
      <c r="Z10" s="105"/>
      <c r="AA10" s="85">
        <v>65412.881</v>
      </c>
      <c r="AB10" s="105"/>
      <c r="AC10" s="85">
        <v>28765.262</v>
      </c>
      <c r="AD10" s="85">
        <v>11109.683</v>
      </c>
      <c r="AE10" s="105"/>
      <c r="AF10" s="85">
        <v>0</v>
      </c>
      <c r="AG10" s="85">
        <v>0</v>
      </c>
      <c r="AH10" s="85">
        <v>0</v>
      </c>
      <c r="AI10" s="85">
        <v>0</v>
      </c>
      <c r="AJ10" s="105">
        <v>0</v>
      </c>
      <c r="AK10" s="85">
        <v>25336.837</v>
      </c>
      <c r="AL10" s="105">
        <v>0</v>
      </c>
      <c r="AM10" s="85">
        <v>0</v>
      </c>
      <c r="AN10" s="105"/>
      <c r="AO10" s="85">
        <v>0</v>
      </c>
      <c r="AP10" s="105"/>
      <c r="AQ10" s="85">
        <v>14745.872</v>
      </c>
      <c r="AR10" s="85">
        <v>0</v>
      </c>
      <c r="AS10" s="105">
        <v>0</v>
      </c>
      <c r="AT10" s="85">
        <v>0</v>
      </c>
      <c r="AU10" s="105">
        <v>0</v>
      </c>
      <c r="AV10" s="85">
        <v>0</v>
      </c>
      <c r="AW10" s="105"/>
      <c r="AX10" s="85">
        <v>0</v>
      </c>
      <c r="AY10" s="85">
        <v>0</v>
      </c>
      <c r="AZ10" s="105"/>
      <c r="BA10" s="85">
        <v>6015.009</v>
      </c>
      <c r="BB10" s="85">
        <v>0</v>
      </c>
      <c r="BC10" s="105">
        <v>0</v>
      </c>
      <c r="BD10" s="85">
        <v>0</v>
      </c>
      <c r="BE10" s="105"/>
      <c r="BF10" s="85">
        <v>2342.192</v>
      </c>
      <c r="BG10" s="105"/>
      <c r="BH10" s="85">
        <v>0</v>
      </c>
      <c r="BI10" s="105"/>
      <c r="BJ10" s="85">
        <v>0</v>
      </c>
      <c r="BK10" s="85">
        <v>0</v>
      </c>
      <c r="BL10" s="105">
        <v>0</v>
      </c>
      <c r="BM10" s="105">
        <v>0</v>
      </c>
      <c r="BN10" s="85">
        <v>0</v>
      </c>
      <c r="BO10" s="85">
        <v>0</v>
      </c>
      <c r="BP10" s="85">
        <v>0</v>
      </c>
      <c r="BQ10" s="85">
        <v>10190.696</v>
      </c>
      <c r="BR10" s="85">
        <v>0</v>
      </c>
      <c r="BS10" s="105">
        <v>0</v>
      </c>
      <c r="BT10" s="105">
        <v>0</v>
      </c>
      <c r="BU10" s="105">
        <v>0</v>
      </c>
      <c r="BV10" s="85">
        <v>0</v>
      </c>
      <c r="BW10" s="85">
        <v>0</v>
      </c>
      <c r="BX10" s="85">
        <v>0</v>
      </c>
      <c r="BY10" s="105">
        <v>0</v>
      </c>
      <c r="BZ10" s="85">
        <v>0</v>
      </c>
      <c r="CA10" s="105">
        <v>0</v>
      </c>
      <c r="CB10" s="105">
        <v>0</v>
      </c>
      <c r="CC10" s="85">
        <v>0</v>
      </c>
      <c r="CD10" s="85">
        <v>0</v>
      </c>
      <c r="CE10" s="105"/>
      <c r="CF10" s="85">
        <v>0</v>
      </c>
      <c r="CG10" s="85">
        <v>0</v>
      </c>
      <c r="CH10" s="85">
        <v>0</v>
      </c>
      <c r="CI10" s="85">
        <v>0</v>
      </c>
      <c r="CJ10" s="85">
        <v>0</v>
      </c>
      <c r="CK10" s="85">
        <v>0</v>
      </c>
      <c r="CL10" s="85">
        <v>0</v>
      </c>
      <c r="CM10" s="85">
        <v>0</v>
      </c>
      <c r="CN10" s="85">
        <v>0</v>
      </c>
      <c r="CO10" s="85">
        <v>0</v>
      </c>
      <c r="CP10" s="85">
        <v>0</v>
      </c>
      <c r="CQ10" s="105"/>
      <c r="CR10" s="85">
        <v>0</v>
      </c>
      <c r="CS10" s="85">
        <v>0</v>
      </c>
      <c r="CT10" s="85"/>
      <c r="CV10" s="30">
        <f aca="true" t="shared" si="0" ref="CV10:CV58">+B10+D10+J10+L10+P10+R10+T10+V10+Y10+AA10+AC10+AD10+AF10+AG10+AH10+AI10+AK10+AM10+AO10+AQ10+AR10+AT10+AV10+AX10+AY10+BA10+BB10+BD10+BF10+BH10+BJ10+BK10+BN10+BO10+BP10+BQ10+BR10+BV10+BW10+BX10+BZ10+CC10+CD10+CF10+CG10+CH10+CI10+CJ10+CK10+CL10+CM10+CN10+CO10+CP10+CR10+CS10</f>
        <v>937072.9530000001</v>
      </c>
      <c r="CW10" s="30"/>
      <c r="CX10" s="30">
        <f aca="true" t="shared" si="1" ref="CX10:CX58">+D10+AQ10+BJ10+BN10+BR10+BW10+BZ10+CF10+CG10+CJ10+CM10+CN10+CO10+CR10</f>
        <v>147458.872</v>
      </c>
      <c r="CY10" s="30">
        <f aca="true" t="shared" si="2" ref="CY10:CY58">+B10+J10+L10+P10+R10+T10+V10+Y10+AA10+AC10+AD10+AF10+AG10+AH10+AI10+AK10+AM10+AO10+AR10+AT10+AV10+AX10+AY10+BA10+BB10+BD10+BF10+BH10+BK10+BO10+BP10+BQ10+BV10+BX10+CC10+CD10+CH10+CI10+CK10+CL10+CP10+CS10</f>
        <v>789614.0810000001</v>
      </c>
      <c r="CZ10" s="85"/>
    </row>
    <row r="11" spans="1:104" ht="12.75">
      <c r="A11" s="104" t="s">
        <v>465</v>
      </c>
      <c r="B11" s="85">
        <v>0</v>
      </c>
      <c r="C11" s="105"/>
      <c r="D11" s="8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85">
        <v>61244.744</v>
      </c>
      <c r="K11" s="105">
        <v>0</v>
      </c>
      <c r="L11" s="85">
        <v>82996</v>
      </c>
      <c r="M11" s="105">
        <v>82996</v>
      </c>
      <c r="N11" s="105">
        <v>0</v>
      </c>
      <c r="O11" s="105">
        <v>0</v>
      </c>
      <c r="P11" s="85">
        <v>0</v>
      </c>
      <c r="Q11" s="105">
        <v>0</v>
      </c>
      <c r="R11" s="85">
        <v>0</v>
      </c>
      <c r="S11" s="105">
        <v>0</v>
      </c>
      <c r="T11" s="85">
        <v>0</v>
      </c>
      <c r="U11" s="105">
        <v>0</v>
      </c>
      <c r="V11" s="85">
        <v>0</v>
      </c>
      <c r="W11" s="105">
        <v>0</v>
      </c>
      <c r="X11" s="105">
        <v>0</v>
      </c>
      <c r="Y11" s="85">
        <v>0</v>
      </c>
      <c r="Z11" s="105"/>
      <c r="AA11" s="85">
        <v>0</v>
      </c>
      <c r="AB11" s="105"/>
      <c r="AC11" s="85">
        <v>0</v>
      </c>
      <c r="AD11" s="85">
        <v>0</v>
      </c>
      <c r="AE11" s="105"/>
      <c r="AF11" s="85">
        <v>0</v>
      </c>
      <c r="AG11" s="85">
        <v>0</v>
      </c>
      <c r="AH11" s="85">
        <v>0</v>
      </c>
      <c r="AI11" s="85">
        <v>0</v>
      </c>
      <c r="AJ11" s="105">
        <v>0</v>
      </c>
      <c r="AK11" s="85">
        <v>0</v>
      </c>
      <c r="AL11" s="105">
        <v>0</v>
      </c>
      <c r="AM11" s="85">
        <v>0</v>
      </c>
      <c r="AN11" s="105"/>
      <c r="AO11" s="85">
        <v>0</v>
      </c>
      <c r="AP11" s="105"/>
      <c r="AQ11" s="85">
        <v>0</v>
      </c>
      <c r="AR11" s="85">
        <v>29849.045</v>
      </c>
      <c r="AS11" s="105">
        <v>0</v>
      </c>
      <c r="AT11" s="85">
        <v>0</v>
      </c>
      <c r="AU11" s="105">
        <v>0</v>
      </c>
      <c r="AV11" s="85">
        <v>0</v>
      </c>
      <c r="AW11" s="105"/>
      <c r="AX11" s="85">
        <v>0</v>
      </c>
      <c r="AY11" s="85">
        <v>0</v>
      </c>
      <c r="AZ11" s="105"/>
      <c r="BA11" s="85">
        <v>0</v>
      </c>
      <c r="BB11" s="85">
        <v>0</v>
      </c>
      <c r="BC11" s="105">
        <v>0</v>
      </c>
      <c r="BD11" s="85">
        <v>0</v>
      </c>
      <c r="BE11" s="105"/>
      <c r="BF11" s="85">
        <v>0</v>
      </c>
      <c r="BG11" s="105"/>
      <c r="BH11" s="85">
        <v>0</v>
      </c>
      <c r="BI11" s="105"/>
      <c r="BJ11" s="85">
        <v>0</v>
      </c>
      <c r="BK11" s="85">
        <v>0</v>
      </c>
      <c r="BL11" s="105">
        <v>0</v>
      </c>
      <c r="BM11" s="105">
        <v>0</v>
      </c>
      <c r="BN11" s="85">
        <v>0</v>
      </c>
      <c r="BO11" s="85">
        <v>0</v>
      </c>
      <c r="BP11" s="85">
        <v>0</v>
      </c>
      <c r="BQ11" s="85">
        <v>0</v>
      </c>
      <c r="BR11" s="85">
        <v>0</v>
      </c>
      <c r="BS11" s="105">
        <v>0</v>
      </c>
      <c r="BT11" s="105">
        <v>0</v>
      </c>
      <c r="BU11" s="105">
        <v>0</v>
      </c>
      <c r="BV11" s="85">
        <v>0</v>
      </c>
      <c r="BW11" s="85">
        <v>0</v>
      </c>
      <c r="BX11" s="85">
        <v>0</v>
      </c>
      <c r="BY11" s="105">
        <v>0</v>
      </c>
      <c r="BZ11" s="85">
        <v>0</v>
      </c>
      <c r="CA11" s="105">
        <v>0</v>
      </c>
      <c r="CB11" s="105">
        <v>0</v>
      </c>
      <c r="CC11" s="85">
        <v>0</v>
      </c>
      <c r="CD11" s="85">
        <v>0</v>
      </c>
      <c r="CE11" s="105"/>
      <c r="CF11" s="85">
        <v>0</v>
      </c>
      <c r="CG11" s="85">
        <v>0</v>
      </c>
      <c r="CH11" s="85">
        <v>0</v>
      </c>
      <c r="CI11" s="85">
        <v>0</v>
      </c>
      <c r="CJ11" s="85">
        <v>0</v>
      </c>
      <c r="CK11" s="85">
        <v>0</v>
      </c>
      <c r="CL11" s="85">
        <v>0</v>
      </c>
      <c r="CM11" s="85">
        <v>0</v>
      </c>
      <c r="CN11" s="85">
        <v>0</v>
      </c>
      <c r="CO11" s="85">
        <v>0</v>
      </c>
      <c r="CP11" s="85">
        <v>0</v>
      </c>
      <c r="CQ11" s="105"/>
      <c r="CR11" s="85">
        <v>0</v>
      </c>
      <c r="CS11" s="85">
        <v>0</v>
      </c>
      <c r="CT11" s="85"/>
      <c r="CV11" s="30">
        <f t="shared" si="0"/>
        <v>174089.789</v>
      </c>
      <c r="CW11" s="30"/>
      <c r="CX11" s="30">
        <f t="shared" si="1"/>
        <v>0</v>
      </c>
      <c r="CY11" s="30">
        <f t="shared" si="2"/>
        <v>174089.789</v>
      </c>
      <c r="CZ11" s="85"/>
    </row>
    <row r="12" spans="1:104" ht="12.75">
      <c r="A12" s="104" t="s">
        <v>466</v>
      </c>
      <c r="B12" s="85">
        <v>0</v>
      </c>
      <c r="C12" s="105"/>
      <c r="D12" s="8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85">
        <v>0</v>
      </c>
      <c r="K12" s="105">
        <v>0</v>
      </c>
      <c r="L12" s="85">
        <v>0</v>
      </c>
      <c r="M12" s="105">
        <v>0</v>
      </c>
      <c r="N12" s="105">
        <v>0</v>
      </c>
      <c r="O12" s="105">
        <v>0</v>
      </c>
      <c r="P12" s="85">
        <v>0</v>
      </c>
      <c r="Q12" s="105">
        <v>0</v>
      </c>
      <c r="R12" s="85">
        <v>0</v>
      </c>
      <c r="S12" s="105">
        <v>0</v>
      </c>
      <c r="T12" s="85">
        <v>0</v>
      </c>
      <c r="U12" s="105">
        <v>0</v>
      </c>
      <c r="V12" s="85">
        <v>0</v>
      </c>
      <c r="W12" s="105">
        <v>0</v>
      </c>
      <c r="X12" s="105">
        <v>0</v>
      </c>
      <c r="Y12" s="85">
        <v>0</v>
      </c>
      <c r="Z12" s="105"/>
      <c r="AA12" s="85">
        <v>0</v>
      </c>
      <c r="AB12" s="105"/>
      <c r="AC12" s="85">
        <v>0</v>
      </c>
      <c r="AD12" s="85">
        <v>0</v>
      </c>
      <c r="AE12" s="105"/>
      <c r="AF12" s="85">
        <v>0</v>
      </c>
      <c r="AG12" s="85">
        <v>0</v>
      </c>
      <c r="AH12" s="85">
        <v>0</v>
      </c>
      <c r="AI12" s="85">
        <v>0</v>
      </c>
      <c r="AJ12" s="105">
        <v>0</v>
      </c>
      <c r="AK12" s="85">
        <v>0</v>
      </c>
      <c r="AL12" s="105">
        <v>0</v>
      </c>
      <c r="AM12" s="85">
        <v>0</v>
      </c>
      <c r="AN12" s="105"/>
      <c r="AO12" s="85">
        <v>0</v>
      </c>
      <c r="AP12" s="105"/>
      <c r="AQ12" s="85">
        <v>0</v>
      </c>
      <c r="AR12" s="85">
        <v>0</v>
      </c>
      <c r="AS12" s="105">
        <v>0</v>
      </c>
      <c r="AT12" s="85">
        <v>0</v>
      </c>
      <c r="AU12" s="105">
        <v>0</v>
      </c>
      <c r="AV12" s="85">
        <v>0</v>
      </c>
      <c r="AW12" s="105"/>
      <c r="AX12" s="85">
        <v>0</v>
      </c>
      <c r="AY12" s="85">
        <v>0</v>
      </c>
      <c r="AZ12" s="105"/>
      <c r="BA12" s="85">
        <v>0</v>
      </c>
      <c r="BB12" s="85">
        <v>0</v>
      </c>
      <c r="BC12" s="105">
        <v>0</v>
      </c>
      <c r="BD12" s="85">
        <v>0</v>
      </c>
      <c r="BE12" s="105"/>
      <c r="BF12" s="85">
        <v>0</v>
      </c>
      <c r="BG12" s="105"/>
      <c r="BH12" s="85">
        <v>0</v>
      </c>
      <c r="BI12" s="105"/>
      <c r="BJ12" s="85">
        <v>0</v>
      </c>
      <c r="BK12" s="85">
        <v>0</v>
      </c>
      <c r="BL12" s="105">
        <v>0</v>
      </c>
      <c r="BM12" s="105">
        <v>0</v>
      </c>
      <c r="BN12" s="85">
        <v>0</v>
      </c>
      <c r="BO12" s="85">
        <v>0</v>
      </c>
      <c r="BP12" s="85">
        <v>0</v>
      </c>
      <c r="BQ12" s="85">
        <v>0</v>
      </c>
      <c r="BR12" s="85">
        <v>0</v>
      </c>
      <c r="BS12" s="105">
        <v>0</v>
      </c>
      <c r="BT12" s="105">
        <v>0</v>
      </c>
      <c r="BU12" s="105">
        <v>0</v>
      </c>
      <c r="BV12" s="85">
        <v>0</v>
      </c>
      <c r="BW12" s="85">
        <v>0</v>
      </c>
      <c r="BX12" s="85">
        <v>0</v>
      </c>
      <c r="BY12" s="105">
        <v>0</v>
      </c>
      <c r="BZ12" s="85">
        <v>0</v>
      </c>
      <c r="CA12" s="105">
        <v>0</v>
      </c>
      <c r="CB12" s="105">
        <v>0</v>
      </c>
      <c r="CC12" s="85">
        <v>0</v>
      </c>
      <c r="CD12" s="85">
        <v>0</v>
      </c>
      <c r="CE12" s="105"/>
      <c r="CF12" s="85">
        <v>0</v>
      </c>
      <c r="CG12" s="85">
        <v>0</v>
      </c>
      <c r="CH12" s="85">
        <v>0</v>
      </c>
      <c r="CI12" s="85">
        <v>0</v>
      </c>
      <c r="CJ12" s="85">
        <v>0</v>
      </c>
      <c r="CK12" s="85">
        <v>0</v>
      </c>
      <c r="CL12" s="85">
        <v>0</v>
      </c>
      <c r="CM12" s="85">
        <v>0</v>
      </c>
      <c r="CN12" s="85">
        <v>0</v>
      </c>
      <c r="CO12" s="85">
        <v>0</v>
      </c>
      <c r="CP12" s="85">
        <v>0</v>
      </c>
      <c r="CQ12" s="105"/>
      <c r="CR12" s="85">
        <v>0</v>
      </c>
      <c r="CS12" s="85">
        <v>0</v>
      </c>
      <c r="CT12" s="85"/>
      <c r="CV12" s="30">
        <f t="shared" si="0"/>
        <v>0</v>
      </c>
      <c r="CW12" s="30"/>
      <c r="CX12" s="30">
        <f t="shared" si="1"/>
        <v>0</v>
      </c>
      <c r="CY12" s="30">
        <f t="shared" si="2"/>
        <v>0</v>
      </c>
      <c r="CZ12" s="85"/>
    </row>
    <row r="13" spans="1:104" ht="12.75">
      <c r="A13" s="104" t="s">
        <v>467</v>
      </c>
      <c r="B13" s="85">
        <v>0</v>
      </c>
      <c r="C13" s="105"/>
      <c r="D13" s="8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85">
        <v>0</v>
      </c>
      <c r="K13" s="105">
        <v>0</v>
      </c>
      <c r="L13" s="85">
        <v>44543</v>
      </c>
      <c r="M13" s="105">
        <v>44542.541</v>
      </c>
      <c r="N13" s="105">
        <v>0</v>
      </c>
      <c r="O13" s="105">
        <v>0</v>
      </c>
      <c r="P13" s="85">
        <v>0</v>
      </c>
      <c r="Q13" s="105">
        <v>0</v>
      </c>
      <c r="R13" s="85">
        <v>0</v>
      </c>
      <c r="S13" s="105">
        <v>0</v>
      </c>
      <c r="T13" s="85">
        <v>0</v>
      </c>
      <c r="U13" s="105">
        <v>0</v>
      </c>
      <c r="V13" s="85">
        <v>0</v>
      </c>
      <c r="W13" s="105">
        <v>0</v>
      </c>
      <c r="X13" s="105">
        <v>0</v>
      </c>
      <c r="Y13" s="85">
        <v>0</v>
      </c>
      <c r="Z13" s="105"/>
      <c r="AA13" s="85">
        <v>0</v>
      </c>
      <c r="AB13" s="105"/>
      <c r="AC13" s="85">
        <v>0</v>
      </c>
      <c r="AD13" s="85">
        <v>0</v>
      </c>
      <c r="AE13" s="105"/>
      <c r="AF13" s="85">
        <v>0</v>
      </c>
      <c r="AG13" s="85">
        <v>0</v>
      </c>
      <c r="AH13" s="85">
        <v>0</v>
      </c>
      <c r="AI13" s="85">
        <v>0</v>
      </c>
      <c r="AJ13" s="105">
        <v>0</v>
      </c>
      <c r="AK13" s="85">
        <v>0</v>
      </c>
      <c r="AL13" s="105">
        <v>0</v>
      </c>
      <c r="AM13" s="85">
        <v>0</v>
      </c>
      <c r="AN13" s="105"/>
      <c r="AO13" s="85">
        <v>0</v>
      </c>
      <c r="AP13" s="105"/>
      <c r="AQ13" s="85">
        <v>0</v>
      </c>
      <c r="AR13" s="85">
        <v>0</v>
      </c>
      <c r="AS13" s="105">
        <v>0</v>
      </c>
      <c r="AT13" s="85">
        <v>0</v>
      </c>
      <c r="AU13" s="105">
        <v>0</v>
      </c>
      <c r="AV13" s="85">
        <v>0</v>
      </c>
      <c r="AW13" s="105"/>
      <c r="AX13" s="85">
        <v>0</v>
      </c>
      <c r="AY13" s="85">
        <v>0</v>
      </c>
      <c r="AZ13" s="105"/>
      <c r="BA13" s="85">
        <v>0</v>
      </c>
      <c r="BB13" s="85">
        <v>0</v>
      </c>
      <c r="BC13" s="105">
        <v>0</v>
      </c>
      <c r="BD13" s="85">
        <v>0</v>
      </c>
      <c r="BE13" s="105"/>
      <c r="BF13" s="85">
        <v>0</v>
      </c>
      <c r="BG13" s="105"/>
      <c r="BH13" s="85">
        <v>0</v>
      </c>
      <c r="BI13" s="105"/>
      <c r="BJ13" s="85">
        <v>0</v>
      </c>
      <c r="BK13" s="85">
        <v>0</v>
      </c>
      <c r="BL13" s="105">
        <v>0</v>
      </c>
      <c r="BM13" s="105">
        <v>0</v>
      </c>
      <c r="BN13" s="85">
        <v>0</v>
      </c>
      <c r="BO13" s="85">
        <v>0</v>
      </c>
      <c r="BP13" s="85">
        <v>0</v>
      </c>
      <c r="BQ13" s="85">
        <v>0</v>
      </c>
      <c r="BR13" s="85">
        <v>0</v>
      </c>
      <c r="BS13" s="105">
        <v>0</v>
      </c>
      <c r="BT13" s="105">
        <v>0</v>
      </c>
      <c r="BU13" s="105">
        <v>0</v>
      </c>
      <c r="BV13" s="85">
        <v>0</v>
      </c>
      <c r="BW13" s="85">
        <v>0</v>
      </c>
      <c r="BX13" s="85">
        <v>0</v>
      </c>
      <c r="BY13" s="105">
        <v>0</v>
      </c>
      <c r="BZ13" s="85">
        <v>0</v>
      </c>
      <c r="CA13" s="105">
        <v>0</v>
      </c>
      <c r="CB13" s="105">
        <v>0</v>
      </c>
      <c r="CC13" s="85">
        <v>0</v>
      </c>
      <c r="CD13" s="85">
        <v>0</v>
      </c>
      <c r="CE13" s="105"/>
      <c r="CF13" s="85">
        <v>0</v>
      </c>
      <c r="CG13" s="85">
        <v>0</v>
      </c>
      <c r="CH13" s="85">
        <v>0</v>
      </c>
      <c r="CI13" s="85">
        <v>0</v>
      </c>
      <c r="CJ13" s="85">
        <v>0</v>
      </c>
      <c r="CK13" s="85">
        <v>0</v>
      </c>
      <c r="CL13" s="85">
        <v>0</v>
      </c>
      <c r="CM13" s="85">
        <v>0</v>
      </c>
      <c r="CN13" s="85">
        <v>0</v>
      </c>
      <c r="CO13" s="85">
        <v>0</v>
      </c>
      <c r="CP13" s="85">
        <v>0</v>
      </c>
      <c r="CQ13" s="105"/>
      <c r="CR13" s="85">
        <v>0</v>
      </c>
      <c r="CS13" s="85">
        <v>0</v>
      </c>
      <c r="CT13" s="85"/>
      <c r="CV13" s="30">
        <f t="shared" si="0"/>
        <v>44543</v>
      </c>
      <c r="CW13" s="30"/>
      <c r="CX13" s="30">
        <f t="shared" si="1"/>
        <v>0</v>
      </c>
      <c r="CY13" s="30">
        <f t="shared" si="2"/>
        <v>44543</v>
      </c>
      <c r="CZ13" s="85"/>
    </row>
    <row r="14" spans="1:104" ht="12.75">
      <c r="A14" s="104" t="s">
        <v>468</v>
      </c>
      <c r="B14" s="85">
        <v>0</v>
      </c>
      <c r="C14" s="105"/>
      <c r="D14" s="8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85">
        <v>0</v>
      </c>
      <c r="K14" s="105">
        <v>0</v>
      </c>
      <c r="L14" s="85">
        <v>0</v>
      </c>
      <c r="M14" s="105">
        <v>0</v>
      </c>
      <c r="N14" s="105">
        <v>0</v>
      </c>
      <c r="O14" s="105">
        <v>0</v>
      </c>
      <c r="P14" s="85">
        <v>0</v>
      </c>
      <c r="Q14" s="105">
        <v>0</v>
      </c>
      <c r="R14" s="85">
        <v>0</v>
      </c>
      <c r="S14" s="105">
        <v>0</v>
      </c>
      <c r="T14" s="85">
        <v>0</v>
      </c>
      <c r="U14" s="105">
        <v>0</v>
      </c>
      <c r="V14" s="85">
        <v>0</v>
      </c>
      <c r="W14" s="105">
        <v>0</v>
      </c>
      <c r="X14" s="105">
        <v>0</v>
      </c>
      <c r="Y14" s="85">
        <v>0</v>
      </c>
      <c r="Z14" s="105"/>
      <c r="AA14" s="85">
        <v>0</v>
      </c>
      <c r="AB14" s="105"/>
      <c r="AC14" s="85">
        <v>0</v>
      </c>
      <c r="AD14" s="85">
        <v>0</v>
      </c>
      <c r="AE14" s="105"/>
      <c r="AF14" s="85">
        <v>0</v>
      </c>
      <c r="AG14" s="85">
        <v>0</v>
      </c>
      <c r="AH14" s="85">
        <v>0</v>
      </c>
      <c r="AI14" s="85">
        <v>0</v>
      </c>
      <c r="AJ14" s="105">
        <v>0</v>
      </c>
      <c r="AK14" s="85">
        <v>14578.492</v>
      </c>
      <c r="AL14" s="105">
        <v>0</v>
      </c>
      <c r="AM14" s="85">
        <v>0</v>
      </c>
      <c r="AN14" s="105"/>
      <c r="AO14" s="85">
        <v>0</v>
      </c>
      <c r="AP14" s="105"/>
      <c r="AQ14" s="85">
        <v>0</v>
      </c>
      <c r="AR14" s="85">
        <v>0</v>
      </c>
      <c r="AS14" s="105">
        <v>10</v>
      </c>
      <c r="AT14" s="85">
        <v>0</v>
      </c>
      <c r="AU14" s="105">
        <v>0</v>
      </c>
      <c r="AV14" s="85">
        <v>0</v>
      </c>
      <c r="AW14" s="105"/>
      <c r="AX14" s="85">
        <v>0</v>
      </c>
      <c r="AY14" s="85">
        <v>0</v>
      </c>
      <c r="AZ14" s="105"/>
      <c r="BA14" s="85">
        <v>0</v>
      </c>
      <c r="BB14" s="85">
        <v>0</v>
      </c>
      <c r="BC14" s="105">
        <v>0</v>
      </c>
      <c r="BD14" s="85">
        <v>0</v>
      </c>
      <c r="BE14" s="105"/>
      <c r="BF14" s="85">
        <v>0</v>
      </c>
      <c r="BG14" s="105"/>
      <c r="BH14" s="85">
        <v>0</v>
      </c>
      <c r="BI14" s="105"/>
      <c r="BJ14" s="85">
        <v>0</v>
      </c>
      <c r="BK14" s="85">
        <v>0</v>
      </c>
      <c r="BL14" s="105">
        <v>0</v>
      </c>
      <c r="BM14" s="105">
        <v>0</v>
      </c>
      <c r="BN14" s="85">
        <v>0</v>
      </c>
      <c r="BO14" s="85">
        <v>0</v>
      </c>
      <c r="BP14" s="85">
        <v>0</v>
      </c>
      <c r="BQ14" s="85">
        <v>0</v>
      </c>
      <c r="BR14" s="85">
        <v>0</v>
      </c>
      <c r="BS14" s="105">
        <v>0</v>
      </c>
      <c r="BT14" s="105">
        <v>0</v>
      </c>
      <c r="BU14" s="105">
        <v>0</v>
      </c>
      <c r="BV14" s="85">
        <v>0</v>
      </c>
      <c r="BW14" s="85">
        <v>0</v>
      </c>
      <c r="BX14" s="85">
        <v>0</v>
      </c>
      <c r="BY14" s="105">
        <v>0</v>
      </c>
      <c r="BZ14" s="85">
        <v>0</v>
      </c>
      <c r="CA14" s="105">
        <v>0</v>
      </c>
      <c r="CB14" s="105">
        <v>0</v>
      </c>
      <c r="CC14" s="85">
        <v>0</v>
      </c>
      <c r="CD14" s="85">
        <v>0</v>
      </c>
      <c r="CE14" s="105"/>
      <c r="CF14" s="85">
        <v>0</v>
      </c>
      <c r="CG14" s="85">
        <v>0</v>
      </c>
      <c r="CH14" s="85">
        <v>0</v>
      </c>
      <c r="CI14" s="85">
        <v>0</v>
      </c>
      <c r="CJ14" s="85">
        <v>0</v>
      </c>
      <c r="CK14" s="85">
        <v>0</v>
      </c>
      <c r="CL14" s="85">
        <v>0</v>
      </c>
      <c r="CM14" s="85">
        <v>0</v>
      </c>
      <c r="CN14" s="85">
        <v>0</v>
      </c>
      <c r="CO14" s="85">
        <v>0</v>
      </c>
      <c r="CP14" s="85">
        <v>0</v>
      </c>
      <c r="CQ14" s="105"/>
      <c r="CR14" s="85">
        <v>0</v>
      </c>
      <c r="CS14" s="85">
        <v>0</v>
      </c>
      <c r="CT14" s="85"/>
      <c r="CV14" s="30">
        <f t="shared" si="0"/>
        <v>14578.492</v>
      </c>
      <c r="CW14" s="30"/>
      <c r="CX14" s="30">
        <f t="shared" si="1"/>
        <v>0</v>
      </c>
      <c r="CY14" s="30">
        <f t="shared" si="2"/>
        <v>14578.492</v>
      </c>
      <c r="CZ14" s="85"/>
    </row>
    <row r="15" spans="1:104" ht="12.75">
      <c r="A15" s="104" t="s">
        <v>469</v>
      </c>
      <c r="B15" s="85">
        <v>0</v>
      </c>
      <c r="C15" s="105"/>
      <c r="D15" s="8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85">
        <v>0</v>
      </c>
      <c r="K15" s="105">
        <v>0</v>
      </c>
      <c r="L15" s="85">
        <v>0</v>
      </c>
      <c r="M15" s="105">
        <v>0</v>
      </c>
      <c r="N15" s="105">
        <v>0</v>
      </c>
      <c r="O15" s="105">
        <v>0</v>
      </c>
      <c r="P15" s="85">
        <v>0</v>
      </c>
      <c r="Q15" s="105">
        <v>0</v>
      </c>
      <c r="R15" s="85">
        <v>0</v>
      </c>
      <c r="S15" s="105">
        <v>0</v>
      </c>
      <c r="T15" s="85">
        <v>0</v>
      </c>
      <c r="U15" s="105">
        <v>0</v>
      </c>
      <c r="V15" s="85">
        <v>0</v>
      </c>
      <c r="W15" s="105">
        <v>0</v>
      </c>
      <c r="X15" s="105">
        <v>0</v>
      </c>
      <c r="Y15" s="85">
        <v>0</v>
      </c>
      <c r="Z15" s="105"/>
      <c r="AA15" s="85">
        <v>0</v>
      </c>
      <c r="AB15" s="105"/>
      <c r="AC15" s="85">
        <v>0</v>
      </c>
      <c r="AD15" s="85">
        <v>0</v>
      </c>
      <c r="AE15" s="105"/>
      <c r="AF15" s="85">
        <v>0</v>
      </c>
      <c r="AG15" s="85">
        <v>0</v>
      </c>
      <c r="AH15" s="85">
        <v>0</v>
      </c>
      <c r="AI15" s="85">
        <v>0</v>
      </c>
      <c r="AJ15" s="105">
        <v>0</v>
      </c>
      <c r="AK15" s="85">
        <v>0</v>
      </c>
      <c r="AL15" s="105">
        <v>0</v>
      </c>
      <c r="AM15" s="85">
        <v>0</v>
      </c>
      <c r="AN15" s="105"/>
      <c r="AO15" s="85">
        <v>0</v>
      </c>
      <c r="AP15" s="105"/>
      <c r="AQ15" s="85">
        <v>0</v>
      </c>
      <c r="AR15" s="85">
        <v>0</v>
      </c>
      <c r="AS15" s="105">
        <v>0</v>
      </c>
      <c r="AT15" s="85">
        <v>0</v>
      </c>
      <c r="AU15" s="105">
        <v>0</v>
      </c>
      <c r="AV15" s="85">
        <v>0</v>
      </c>
      <c r="AW15" s="105"/>
      <c r="AX15" s="85">
        <v>0</v>
      </c>
      <c r="AY15" s="85">
        <v>0</v>
      </c>
      <c r="AZ15" s="105"/>
      <c r="BA15" s="85">
        <v>0</v>
      </c>
      <c r="BB15" s="85">
        <v>0</v>
      </c>
      <c r="BC15" s="105">
        <v>0</v>
      </c>
      <c r="BD15" s="85">
        <v>0</v>
      </c>
      <c r="BE15" s="105"/>
      <c r="BF15" s="85">
        <v>0</v>
      </c>
      <c r="BG15" s="105"/>
      <c r="BH15" s="85">
        <v>0</v>
      </c>
      <c r="BI15" s="105"/>
      <c r="BJ15" s="85">
        <v>0</v>
      </c>
      <c r="BK15" s="85">
        <v>0</v>
      </c>
      <c r="BL15" s="105">
        <v>0</v>
      </c>
      <c r="BM15" s="105">
        <v>0</v>
      </c>
      <c r="BN15" s="85">
        <v>0</v>
      </c>
      <c r="BO15" s="85">
        <v>0</v>
      </c>
      <c r="BP15" s="85">
        <v>0</v>
      </c>
      <c r="BQ15" s="85">
        <v>0</v>
      </c>
      <c r="BR15" s="85">
        <v>0</v>
      </c>
      <c r="BS15" s="105">
        <v>0</v>
      </c>
      <c r="BT15" s="105">
        <v>0</v>
      </c>
      <c r="BU15" s="105">
        <v>0</v>
      </c>
      <c r="BV15" s="85">
        <v>0</v>
      </c>
      <c r="BW15" s="85">
        <v>0</v>
      </c>
      <c r="BX15" s="85">
        <v>0</v>
      </c>
      <c r="BY15" s="105">
        <v>0</v>
      </c>
      <c r="BZ15" s="85">
        <v>0</v>
      </c>
      <c r="CA15" s="105">
        <v>0</v>
      </c>
      <c r="CB15" s="105">
        <v>0</v>
      </c>
      <c r="CC15" s="85">
        <v>0</v>
      </c>
      <c r="CD15" s="85">
        <v>0</v>
      </c>
      <c r="CE15" s="105"/>
      <c r="CF15" s="85">
        <v>0</v>
      </c>
      <c r="CG15" s="85">
        <v>0</v>
      </c>
      <c r="CH15" s="85">
        <v>0</v>
      </c>
      <c r="CI15" s="85">
        <v>0</v>
      </c>
      <c r="CJ15" s="85">
        <v>0</v>
      </c>
      <c r="CK15" s="85">
        <v>0</v>
      </c>
      <c r="CL15" s="85">
        <v>0</v>
      </c>
      <c r="CM15" s="85">
        <v>0</v>
      </c>
      <c r="CN15" s="85">
        <v>0</v>
      </c>
      <c r="CO15" s="85">
        <v>0</v>
      </c>
      <c r="CP15" s="85">
        <v>0</v>
      </c>
      <c r="CQ15" s="105"/>
      <c r="CR15" s="85">
        <v>0</v>
      </c>
      <c r="CS15" s="85">
        <v>0</v>
      </c>
      <c r="CT15" s="85"/>
      <c r="CV15" s="30">
        <f t="shared" si="0"/>
        <v>0</v>
      </c>
      <c r="CW15" s="30"/>
      <c r="CX15" s="30">
        <f t="shared" si="1"/>
        <v>0</v>
      </c>
      <c r="CY15" s="30">
        <f t="shared" si="2"/>
        <v>0</v>
      </c>
      <c r="CZ15" s="85"/>
    </row>
    <row r="16" spans="1:103" ht="5.25" customHeight="1">
      <c r="A16" s="104"/>
      <c r="CV16" s="30"/>
      <c r="CW16" s="30"/>
      <c r="CX16" s="30"/>
      <c r="CY16" s="30"/>
    </row>
    <row r="17" spans="1:103" ht="12.75">
      <c r="A17" s="106" t="s">
        <v>281</v>
      </c>
      <c r="B17" s="107"/>
      <c r="CV17" s="30"/>
      <c r="CW17" s="30"/>
      <c r="CX17" s="30"/>
      <c r="CY17" s="30"/>
    </row>
    <row r="18" spans="1:104" ht="12.75">
      <c r="A18" s="104" t="s">
        <v>282</v>
      </c>
      <c r="B18" s="85">
        <v>29489065.641</v>
      </c>
      <c r="C18" s="105"/>
      <c r="D18" s="85">
        <v>16782416</v>
      </c>
      <c r="E18" s="105">
        <v>11925399</v>
      </c>
      <c r="F18" s="105">
        <v>4430489</v>
      </c>
      <c r="G18" s="105">
        <v>0</v>
      </c>
      <c r="H18" s="105">
        <v>0</v>
      </c>
      <c r="I18" s="105">
        <v>426529</v>
      </c>
      <c r="J18" s="85">
        <v>17734194.802</v>
      </c>
      <c r="K18" s="105">
        <v>10186.92</v>
      </c>
      <c r="L18" s="85">
        <v>18047818</v>
      </c>
      <c r="M18" s="105">
        <v>18047818.216</v>
      </c>
      <c r="N18" s="105">
        <v>0</v>
      </c>
      <c r="O18" s="105">
        <v>0</v>
      </c>
      <c r="P18" s="85">
        <v>12457433.146</v>
      </c>
      <c r="Q18" s="105">
        <v>3491.676</v>
      </c>
      <c r="R18" s="85">
        <v>7467630.309</v>
      </c>
      <c r="S18" s="105">
        <v>13281.841</v>
      </c>
      <c r="T18" s="85">
        <f>4462079.879+8005.606</f>
        <v>4470085.484999999</v>
      </c>
      <c r="U18" s="105">
        <v>8005.606</v>
      </c>
      <c r="V18" s="85">
        <v>11545108.305</v>
      </c>
      <c r="W18" s="105">
        <v>9973277.719</v>
      </c>
      <c r="X18" s="105">
        <f aca="true" t="shared" si="3" ref="X18:X23">+V18-W18</f>
        <v>1571830.5859999992</v>
      </c>
      <c r="Y18" s="85">
        <v>5621272.972</v>
      </c>
      <c r="Z18" s="105"/>
      <c r="AA18" s="85">
        <v>5065245.585</v>
      </c>
      <c r="AB18" s="105"/>
      <c r="AC18" s="85">
        <v>7930600.791</v>
      </c>
      <c r="AD18" s="85">
        <v>5175324.108</v>
      </c>
      <c r="AE18" s="105"/>
      <c r="AF18" s="85">
        <v>7697649</v>
      </c>
      <c r="AG18" s="85">
        <v>6341942.04</v>
      </c>
      <c r="AH18" s="85">
        <v>7395600.39</v>
      </c>
      <c r="AI18" s="85">
        <v>4414535.617</v>
      </c>
      <c r="AJ18" s="105">
        <v>11814.419</v>
      </c>
      <c r="AK18" s="85">
        <v>3670711.381</v>
      </c>
      <c r="AL18" s="105">
        <v>1410.724</v>
      </c>
      <c r="AM18" s="85">
        <v>4473203.001</v>
      </c>
      <c r="AN18" s="105"/>
      <c r="AO18" s="85">
        <v>7668765.218</v>
      </c>
      <c r="AP18" s="105"/>
      <c r="AQ18" s="85">
        <v>1896870.544</v>
      </c>
      <c r="AR18" s="85">
        <v>2360837.85</v>
      </c>
      <c r="AS18" s="105">
        <v>795.213</v>
      </c>
      <c r="AT18" s="85">
        <v>1002516.51</v>
      </c>
      <c r="AU18" s="105">
        <v>2914.042</v>
      </c>
      <c r="AV18" s="85">
        <v>3553948</v>
      </c>
      <c r="AW18" s="105"/>
      <c r="AX18" s="85">
        <v>1650845.235</v>
      </c>
      <c r="AY18" s="85">
        <v>4359987.154</v>
      </c>
      <c r="AZ18" s="105"/>
      <c r="BA18" s="85">
        <v>3589840.663</v>
      </c>
      <c r="BB18" s="85">
        <v>2916805.652</v>
      </c>
      <c r="BC18" s="105">
        <f>2916805.652-114354.576</f>
        <v>2802451.076</v>
      </c>
      <c r="BD18" s="85">
        <v>476801.883</v>
      </c>
      <c r="BE18" s="105"/>
      <c r="BF18" s="85">
        <v>1733486.679</v>
      </c>
      <c r="BG18" s="105"/>
      <c r="BH18" s="85">
        <v>414188.112</v>
      </c>
      <c r="BI18" s="105"/>
      <c r="BJ18" s="85">
        <v>419019.561</v>
      </c>
      <c r="BK18" s="85">
        <v>511429.632</v>
      </c>
      <c r="BL18" s="105">
        <v>489199.966</v>
      </c>
      <c r="BM18" s="105">
        <v>22229.666</v>
      </c>
      <c r="BN18" s="85">
        <v>2166950.99</v>
      </c>
      <c r="BO18" s="85">
        <v>659546.666</v>
      </c>
      <c r="BP18" s="85">
        <v>1107861.701</v>
      </c>
      <c r="BQ18" s="85">
        <v>242868.025</v>
      </c>
      <c r="BR18" s="85">
        <f>844936.397+17176.202</f>
        <v>862112.599</v>
      </c>
      <c r="BS18" s="105">
        <v>742378.017</v>
      </c>
      <c r="BT18" s="105">
        <v>102558.38</v>
      </c>
      <c r="BU18" s="105">
        <v>17176.202</v>
      </c>
      <c r="BV18" s="85">
        <v>834764.147</v>
      </c>
      <c r="BW18" s="85">
        <v>673475.239</v>
      </c>
      <c r="BX18" s="85">
        <v>401040.448</v>
      </c>
      <c r="BY18" s="105">
        <f>401040.448-16979.033</f>
        <v>384061.415</v>
      </c>
      <c r="BZ18" s="85">
        <v>301744.829</v>
      </c>
      <c r="CA18" s="105">
        <f aca="true" t="shared" si="4" ref="CA18:CA23">+BZ18-CB18</f>
        <v>33640.89600000001</v>
      </c>
      <c r="CB18" s="105">
        <v>268103.933</v>
      </c>
      <c r="CC18" s="85">
        <v>612237.791</v>
      </c>
      <c r="CD18" s="85">
        <v>260664.49</v>
      </c>
      <c r="CE18" s="105"/>
      <c r="CF18" s="85">
        <v>223502.016</v>
      </c>
      <c r="CG18" s="85">
        <v>250312.85</v>
      </c>
      <c r="CH18" s="85">
        <v>258772.078</v>
      </c>
      <c r="CI18" s="85">
        <v>242237.678</v>
      </c>
      <c r="CJ18" s="85">
        <v>129728.974</v>
      </c>
      <c r="CK18" s="85">
        <v>290125.976</v>
      </c>
      <c r="CL18" s="85">
        <v>1148.961</v>
      </c>
      <c r="CM18" s="85">
        <v>9297.081</v>
      </c>
      <c r="CN18" s="85">
        <v>25761.47</v>
      </c>
      <c r="CO18" s="85">
        <v>0</v>
      </c>
      <c r="CP18" s="85">
        <v>0</v>
      </c>
      <c r="CQ18" s="105"/>
      <c r="CR18" s="85">
        <v>10000</v>
      </c>
      <c r="CS18" s="85">
        <v>0</v>
      </c>
      <c r="CT18" s="85"/>
      <c r="CV18" s="30">
        <f t="shared" si="0"/>
        <v>217899333.27500004</v>
      </c>
      <c r="CW18" s="30"/>
      <c r="CX18" s="30">
        <f t="shared" si="1"/>
        <v>23751192.152999997</v>
      </c>
      <c r="CY18" s="30">
        <f t="shared" si="2"/>
        <v>194148141.12200004</v>
      </c>
      <c r="CZ18" s="85"/>
    </row>
    <row r="19" spans="1:104" ht="12.75">
      <c r="A19" s="104" t="s">
        <v>283</v>
      </c>
      <c r="B19" s="85">
        <v>41983132.805</v>
      </c>
      <c r="C19" s="105"/>
      <c r="D19" s="85">
        <v>43742099</v>
      </c>
      <c r="E19" s="105">
        <v>38945170</v>
      </c>
      <c r="F19" s="105">
        <v>4776815</v>
      </c>
      <c r="G19" s="105">
        <v>0</v>
      </c>
      <c r="H19" s="105">
        <v>0</v>
      </c>
      <c r="I19" s="105">
        <v>20113</v>
      </c>
      <c r="J19" s="85">
        <v>22072668.411</v>
      </c>
      <c r="K19" s="105">
        <v>26660.156</v>
      </c>
      <c r="L19" s="85">
        <v>16734160</v>
      </c>
      <c r="M19" s="105">
        <v>16734160.107</v>
      </c>
      <c r="N19" s="105">
        <v>0</v>
      </c>
      <c r="O19" s="105">
        <v>0</v>
      </c>
      <c r="P19" s="85">
        <v>25934390.597</v>
      </c>
      <c r="Q19" s="105">
        <v>0</v>
      </c>
      <c r="R19" s="85">
        <v>10263745.318</v>
      </c>
      <c r="S19" s="105">
        <v>15234.855</v>
      </c>
      <c r="T19" s="85">
        <f>13944459.807+9584.205</f>
        <v>13954044.012</v>
      </c>
      <c r="U19" s="105">
        <f>682.101+8902.104</f>
        <v>9584.205</v>
      </c>
      <c r="V19" s="85">
        <v>3862869.425</v>
      </c>
      <c r="W19" s="105">
        <v>3375345.866</v>
      </c>
      <c r="X19" s="105">
        <f t="shared" si="3"/>
        <v>487523.5589999999</v>
      </c>
      <c r="Y19" s="85">
        <v>5856091.934</v>
      </c>
      <c r="Z19" s="105"/>
      <c r="AA19" s="85">
        <v>6435294.148</v>
      </c>
      <c r="AB19" s="105"/>
      <c r="AC19" s="85">
        <v>4668046.813</v>
      </c>
      <c r="AD19" s="85">
        <v>6406683.267</v>
      </c>
      <c r="AE19" s="105"/>
      <c r="AF19" s="85">
        <v>2094473</v>
      </c>
      <c r="AG19" s="85">
        <v>2807089.094</v>
      </c>
      <c r="AH19" s="85">
        <v>2348180.197</v>
      </c>
      <c r="AI19" s="85">
        <v>1698428.906</v>
      </c>
      <c r="AJ19" s="105">
        <v>0</v>
      </c>
      <c r="AK19" s="85">
        <v>5439327.483</v>
      </c>
      <c r="AL19" s="105">
        <v>2419.005</v>
      </c>
      <c r="AM19" s="85">
        <v>3966176.292</v>
      </c>
      <c r="AN19" s="105"/>
      <c r="AO19" s="85">
        <f>503048.567</f>
        <v>503048.567</v>
      </c>
      <c r="AP19" s="105"/>
      <c r="AQ19" s="85">
        <v>4547034.055</v>
      </c>
      <c r="AR19" s="85">
        <v>4431561.87</v>
      </c>
      <c r="AS19" s="105">
        <v>1492.706</v>
      </c>
      <c r="AT19" s="85">
        <v>3982946.577</v>
      </c>
      <c r="AU19" s="105">
        <v>0</v>
      </c>
      <c r="AV19" s="85">
        <v>2840458</v>
      </c>
      <c r="AW19" s="105"/>
      <c r="AX19" s="85">
        <v>3820564.843</v>
      </c>
      <c r="AY19" s="85">
        <v>579244.101</v>
      </c>
      <c r="AZ19" s="105"/>
      <c r="BA19" s="85">
        <v>944091.182</v>
      </c>
      <c r="BB19" s="85">
        <v>1121650.248</v>
      </c>
      <c r="BC19" s="105">
        <f>1121650.248-1426.274</f>
        <v>1120223.974</v>
      </c>
      <c r="BD19" s="85">
        <v>1988494.835</v>
      </c>
      <c r="BE19" s="105"/>
      <c r="BF19" s="85">
        <v>767361.233</v>
      </c>
      <c r="BG19" s="105"/>
      <c r="BH19" s="85">
        <v>1534504.043</v>
      </c>
      <c r="BI19" s="105"/>
      <c r="BJ19" s="85">
        <v>861578.013</v>
      </c>
      <c r="BK19" s="85">
        <v>1860751.623</v>
      </c>
      <c r="BL19" s="105">
        <f>+BK19-BM19</f>
        <v>1683077.669</v>
      </c>
      <c r="BM19" s="105">
        <v>177673.954</v>
      </c>
      <c r="BN19" s="85">
        <v>187236.235</v>
      </c>
      <c r="BO19" s="85">
        <v>1258689.98</v>
      </c>
      <c r="BP19" s="85">
        <v>773193.54</v>
      </c>
      <c r="BQ19" s="85">
        <v>1228062.138</v>
      </c>
      <c r="BR19" s="85">
        <v>111673.763</v>
      </c>
      <c r="BS19" s="105">
        <v>98118.802</v>
      </c>
      <c r="BT19" s="105">
        <v>13554.961</v>
      </c>
      <c r="BU19" s="105">
        <v>0</v>
      </c>
      <c r="BV19" s="85">
        <v>759728.367</v>
      </c>
      <c r="BW19" s="85">
        <v>304432.008</v>
      </c>
      <c r="BX19" s="85">
        <v>804519.83</v>
      </c>
      <c r="BY19" s="105">
        <f>804519.83-27388.45</f>
        <v>777131.38</v>
      </c>
      <c r="BZ19" s="85">
        <v>604794.498</v>
      </c>
      <c r="CA19" s="105">
        <f t="shared" si="4"/>
        <v>33884.07400000002</v>
      </c>
      <c r="CB19" s="105">
        <v>570910.424</v>
      </c>
      <c r="CC19" s="85">
        <v>522046.787</v>
      </c>
      <c r="CD19" s="85">
        <v>728968.714</v>
      </c>
      <c r="CE19" s="105"/>
      <c r="CF19" s="85">
        <v>663183.687</v>
      </c>
      <c r="CG19" s="85">
        <v>512612.905</v>
      </c>
      <c r="CH19" s="85">
        <f>307430.177+13422.5-10808.469</f>
        <v>310044.20800000004</v>
      </c>
      <c r="CI19" s="85">
        <v>344751.59</v>
      </c>
      <c r="CJ19" s="85">
        <v>210217.236</v>
      </c>
      <c r="CK19" s="85">
        <v>172510.821</v>
      </c>
      <c r="CL19" s="85">
        <v>369661.57</v>
      </c>
      <c r="CM19" s="85">
        <v>222224.249</v>
      </c>
      <c r="CN19" s="85">
        <v>84771.31</v>
      </c>
      <c r="CO19" s="85">
        <v>19332.083</v>
      </c>
      <c r="CP19" s="85">
        <v>8320.847</v>
      </c>
      <c r="CQ19" s="105"/>
      <c r="CR19" s="85">
        <v>36962.461</v>
      </c>
      <c r="CS19" s="85">
        <v>7967.82</v>
      </c>
      <c r="CT19" s="85"/>
      <c r="CV19" s="30">
        <f t="shared" si="0"/>
        <v>260296096.53900006</v>
      </c>
      <c r="CW19" s="30"/>
      <c r="CX19" s="30">
        <f t="shared" si="1"/>
        <v>52108151.503</v>
      </c>
      <c r="CY19" s="30">
        <f t="shared" si="2"/>
        <v>208187945.036</v>
      </c>
      <c r="CZ19" s="85"/>
    </row>
    <row r="20" spans="1:104" ht="12.75">
      <c r="A20" s="46" t="s">
        <v>284</v>
      </c>
      <c r="B20" s="85">
        <v>13410954.115</v>
      </c>
      <c r="C20" s="105"/>
      <c r="D20" s="85">
        <v>15344317</v>
      </c>
      <c r="E20" s="105">
        <v>12138148</v>
      </c>
      <c r="F20" s="105">
        <v>3175355</v>
      </c>
      <c r="G20" s="105">
        <v>30815</v>
      </c>
      <c r="H20" s="105">
        <v>0</v>
      </c>
      <c r="I20" s="105">
        <v>0</v>
      </c>
      <c r="J20" s="85">
        <v>7481378.84</v>
      </c>
      <c r="K20" s="105">
        <v>0</v>
      </c>
      <c r="L20" s="85">
        <v>6706889</v>
      </c>
      <c r="M20" s="105">
        <v>6706889.215</v>
      </c>
      <c r="N20" s="105">
        <v>0</v>
      </c>
      <c r="O20" s="105">
        <v>0</v>
      </c>
      <c r="P20" s="85">
        <v>2851449.002</v>
      </c>
      <c r="Q20" s="105">
        <v>0</v>
      </c>
      <c r="R20" s="85">
        <v>574616.047</v>
      </c>
      <c r="S20" s="105">
        <v>0</v>
      </c>
      <c r="T20" s="85">
        <v>492357.136</v>
      </c>
      <c r="U20" s="105">
        <v>0</v>
      </c>
      <c r="V20" s="85">
        <v>1589150.522</v>
      </c>
      <c r="W20" s="105">
        <v>1296447.285</v>
      </c>
      <c r="X20" s="105">
        <f t="shared" si="3"/>
        <v>292703.2370000002</v>
      </c>
      <c r="Y20" s="85">
        <v>4128380.898</v>
      </c>
      <c r="Z20" s="105"/>
      <c r="AA20" s="85">
        <v>2994195.587</v>
      </c>
      <c r="AB20" s="105"/>
      <c r="AC20" s="85">
        <v>1183874.169</v>
      </c>
      <c r="AD20" s="85">
        <v>380495.018</v>
      </c>
      <c r="AE20" s="105"/>
      <c r="AF20" s="85">
        <v>1884011</v>
      </c>
      <c r="AG20" s="85">
        <v>494448.876</v>
      </c>
      <c r="AH20" s="85">
        <v>601169.703</v>
      </c>
      <c r="AI20" s="85">
        <v>2834931.831</v>
      </c>
      <c r="AJ20" s="105">
        <v>0</v>
      </c>
      <c r="AK20" s="85">
        <v>2279.119</v>
      </c>
      <c r="AL20" s="105">
        <v>0</v>
      </c>
      <c r="AM20" s="85">
        <v>303700.087</v>
      </c>
      <c r="AN20" s="105"/>
      <c r="AO20" s="85">
        <v>252997.605</v>
      </c>
      <c r="AP20" s="105"/>
      <c r="AQ20" s="85">
        <v>1057101.456</v>
      </c>
      <c r="AR20" s="85">
        <v>39939.434</v>
      </c>
      <c r="AS20" s="105">
        <v>13.453</v>
      </c>
      <c r="AT20" s="85">
        <v>1039584.074</v>
      </c>
      <c r="AU20" s="105">
        <v>0</v>
      </c>
      <c r="AV20" s="85">
        <v>45762</v>
      </c>
      <c r="AW20" s="105"/>
      <c r="AX20" s="85">
        <v>457869.607</v>
      </c>
      <c r="AY20" s="85">
        <v>597679.186</v>
      </c>
      <c r="AZ20" s="105"/>
      <c r="BA20" s="85">
        <v>155091.889</v>
      </c>
      <c r="BB20" s="85">
        <v>0</v>
      </c>
      <c r="BC20" s="105">
        <v>0</v>
      </c>
      <c r="BD20" s="85">
        <v>276634.123</v>
      </c>
      <c r="BE20" s="105"/>
      <c r="BF20" s="85">
        <v>877601.554</v>
      </c>
      <c r="BG20" s="105"/>
      <c r="BH20" s="85">
        <v>1069980.433</v>
      </c>
      <c r="BI20" s="105"/>
      <c r="BJ20" s="85">
        <v>1531347.505</v>
      </c>
      <c r="BK20" s="85">
        <v>126945.403</v>
      </c>
      <c r="BL20" s="105">
        <f>+BK20-BM20</f>
        <v>116548.81</v>
      </c>
      <c r="BM20" s="105">
        <v>10396.593</v>
      </c>
      <c r="BN20" s="85">
        <v>0</v>
      </c>
      <c r="BO20" s="85">
        <v>90596.671</v>
      </c>
      <c r="BP20" s="85">
        <v>51787.696</v>
      </c>
      <c r="BQ20" s="85">
        <v>5359.927</v>
      </c>
      <c r="BR20" s="85">
        <v>202711.49</v>
      </c>
      <c r="BS20" s="105">
        <v>178106.369</v>
      </c>
      <c r="BT20" s="105">
        <v>24605.121</v>
      </c>
      <c r="BU20" s="105">
        <v>0</v>
      </c>
      <c r="BV20" s="85">
        <v>98079.165</v>
      </c>
      <c r="BW20" s="85">
        <v>385819.431</v>
      </c>
      <c r="BX20" s="85">
        <v>0</v>
      </c>
      <c r="BY20" s="105">
        <v>0</v>
      </c>
      <c r="BZ20" s="85">
        <v>295340.996</v>
      </c>
      <c r="CA20" s="105">
        <f t="shared" si="4"/>
        <v>28322.82799999998</v>
      </c>
      <c r="CB20" s="105">
        <v>267018.168</v>
      </c>
      <c r="CC20" s="85">
        <v>55599.593</v>
      </c>
      <c r="CD20" s="85">
        <v>76407.271</v>
      </c>
      <c r="CE20" s="105"/>
      <c r="CF20" s="85">
        <v>140028.041</v>
      </c>
      <c r="CG20" s="85">
        <v>0</v>
      </c>
      <c r="CH20" s="85">
        <v>69588.702</v>
      </c>
      <c r="CI20" s="85">
        <v>2591.343</v>
      </c>
      <c r="CJ20" s="85">
        <v>88819.549</v>
      </c>
      <c r="CK20" s="85">
        <v>0</v>
      </c>
      <c r="CL20" s="85">
        <v>31011.365</v>
      </c>
      <c r="CM20" s="85">
        <v>5363.441</v>
      </c>
      <c r="CN20" s="85">
        <v>5334.558</v>
      </c>
      <c r="CO20" s="85">
        <v>63985.334</v>
      </c>
      <c r="CP20" s="85">
        <v>65545.291</v>
      </c>
      <c r="CQ20" s="105"/>
      <c r="CR20" s="85">
        <v>7936.414</v>
      </c>
      <c r="CS20" s="85">
        <v>0</v>
      </c>
      <c r="CT20" s="85"/>
      <c r="CV20" s="30">
        <f t="shared" si="0"/>
        <v>72529038.49699996</v>
      </c>
      <c r="CW20" s="30"/>
      <c r="CX20" s="30">
        <f t="shared" si="1"/>
        <v>19128105.214999996</v>
      </c>
      <c r="CY20" s="30">
        <f t="shared" si="2"/>
        <v>53400933.28199999</v>
      </c>
      <c r="CZ20" s="85"/>
    </row>
    <row r="21" spans="1:104" ht="12.75">
      <c r="A21" s="46" t="s">
        <v>285</v>
      </c>
      <c r="B21" s="85">
        <v>0</v>
      </c>
      <c r="C21" s="105"/>
      <c r="D21" s="8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85">
        <v>221335.159</v>
      </c>
      <c r="K21" s="105">
        <v>0</v>
      </c>
      <c r="L21" s="85">
        <v>0</v>
      </c>
      <c r="M21" s="105">
        <v>0</v>
      </c>
      <c r="N21" s="105">
        <v>0</v>
      </c>
      <c r="O21" s="105">
        <v>0</v>
      </c>
      <c r="P21" s="85">
        <v>0</v>
      </c>
      <c r="Q21" s="105">
        <v>0</v>
      </c>
      <c r="R21" s="85">
        <v>434431.719</v>
      </c>
      <c r="S21" s="105">
        <v>0</v>
      </c>
      <c r="T21" s="85">
        <v>0</v>
      </c>
      <c r="U21" s="105">
        <v>0</v>
      </c>
      <c r="V21" s="85">
        <v>0</v>
      </c>
      <c r="W21" s="105">
        <v>0</v>
      </c>
      <c r="X21" s="105">
        <f t="shared" si="3"/>
        <v>0</v>
      </c>
      <c r="Y21" s="85">
        <v>191213.742</v>
      </c>
      <c r="Z21" s="105"/>
      <c r="AA21" s="85">
        <v>108168.649</v>
      </c>
      <c r="AB21" s="105"/>
      <c r="AC21" s="85">
        <v>0</v>
      </c>
      <c r="AD21" s="85">
        <v>28270.032</v>
      </c>
      <c r="AE21" s="105"/>
      <c r="AF21" s="85">
        <v>0</v>
      </c>
      <c r="AG21" s="85">
        <v>1822191.325</v>
      </c>
      <c r="AH21" s="85">
        <v>26192.052</v>
      </c>
      <c r="AI21" s="85">
        <v>0</v>
      </c>
      <c r="AJ21" s="105">
        <v>0</v>
      </c>
      <c r="AK21" s="85">
        <v>0</v>
      </c>
      <c r="AL21" s="105">
        <v>0</v>
      </c>
      <c r="AM21" s="85">
        <v>0</v>
      </c>
      <c r="AN21" s="105"/>
      <c r="AO21" s="85">
        <v>0</v>
      </c>
      <c r="AP21" s="105"/>
      <c r="AQ21" s="85">
        <v>0</v>
      </c>
      <c r="AR21" s="85">
        <v>0</v>
      </c>
      <c r="AS21" s="105">
        <v>0</v>
      </c>
      <c r="AT21" s="85">
        <v>0</v>
      </c>
      <c r="AU21" s="105">
        <v>0</v>
      </c>
      <c r="AV21" s="85">
        <v>0</v>
      </c>
      <c r="AW21" s="105"/>
      <c r="AX21" s="85">
        <v>0</v>
      </c>
      <c r="AY21" s="85">
        <v>0</v>
      </c>
      <c r="AZ21" s="105"/>
      <c r="BA21" s="85">
        <v>14952.345</v>
      </c>
      <c r="BB21" s="85">
        <v>0</v>
      </c>
      <c r="BC21" s="105">
        <v>0</v>
      </c>
      <c r="BD21" s="85">
        <v>0</v>
      </c>
      <c r="BE21" s="105"/>
      <c r="BF21" s="85">
        <v>0</v>
      </c>
      <c r="BG21" s="105"/>
      <c r="BH21" s="85">
        <v>0</v>
      </c>
      <c r="BI21" s="105"/>
      <c r="BJ21" s="85">
        <v>0</v>
      </c>
      <c r="BK21" s="85">
        <v>0</v>
      </c>
      <c r="BL21" s="105">
        <f>+BK21-BM21</f>
        <v>0</v>
      </c>
      <c r="BM21" s="105">
        <v>0</v>
      </c>
      <c r="BN21" s="85">
        <v>0</v>
      </c>
      <c r="BO21" s="85">
        <v>0</v>
      </c>
      <c r="BP21" s="85">
        <v>0</v>
      </c>
      <c r="BQ21" s="85">
        <v>0</v>
      </c>
      <c r="BR21" s="85">
        <v>0</v>
      </c>
      <c r="BS21" s="105">
        <v>0</v>
      </c>
      <c r="BT21" s="105">
        <v>0</v>
      </c>
      <c r="BU21" s="105">
        <v>0</v>
      </c>
      <c r="BV21" s="85">
        <v>0</v>
      </c>
      <c r="BW21" s="85">
        <v>0</v>
      </c>
      <c r="BX21" s="85">
        <v>0</v>
      </c>
      <c r="BY21" s="105">
        <v>0</v>
      </c>
      <c r="BZ21" s="85">
        <v>0</v>
      </c>
      <c r="CA21" s="105">
        <f t="shared" si="4"/>
        <v>0</v>
      </c>
      <c r="CB21" s="105"/>
      <c r="CC21" s="85">
        <v>0</v>
      </c>
      <c r="CD21" s="85">
        <v>0</v>
      </c>
      <c r="CE21" s="105"/>
      <c r="CF21" s="85">
        <v>0</v>
      </c>
      <c r="CG21" s="85">
        <v>0</v>
      </c>
      <c r="CH21" s="85">
        <v>0</v>
      </c>
      <c r="CI21" s="85">
        <v>0</v>
      </c>
      <c r="CJ21" s="85">
        <v>0</v>
      </c>
      <c r="CK21" s="85">
        <v>0</v>
      </c>
      <c r="CL21" s="85">
        <v>0</v>
      </c>
      <c r="CM21" s="85">
        <v>0</v>
      </c>
      <c r="CN21" s="85">
        <v>0</v>
      </c>
      <c r="CO21" s="85">
        <v>0</v>
      </c>
      <c r="CP21" s="85">
        <v>0</v>
      </c>
      <c r="CQ21" s="105"/>
      <c r="CR21" s="85">
        <v>0</v>
      </c>
      <c r="CS21" s="85">
        <v>0</v>
      </c>
      <c r="CT21" s="85"/>
      <c r="CV21" s="30">
        <f t="shared" si="0"/>
        <v>2846755.0230000005</v>
      </c>
      <c r="CW21" s="30"/>
      <c r="CX21" s="30">
        <f t="shared" si="1"/>
        <v>0</v>
      </c>
      <c r="CY21" s="30">
        <f t="shared" si="2"/>
        <v>2846755.0230000005</v>
      </c>
      <c r="CZ21" s="85"/>
    </row>
    <row r="22" spans="1:104" ht="12.75">
      <c r="A22" s="27" t="s">
        <v>335</v>
      </c>
      <c r="B22" s="85">
        <v>0</v>
      </c>
      <c r="C22" s="105"/>
      <c r="D22" s="85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85">
        <v>0</v>
      </c>
      <c r="K22" s="105">
        <v>0</v>
      </c>
      <c r="L22" s="85">
        <v>0</v>
      </c>
      <c r="M22" s="105">
        <v>0</v>
      </c>
      <c r="N22" s="105">
        <v>0</v>
      </c>
      <c r="O22" s="105">
        <v>0</v>
      </c>
      <c r="P22" s="85">
        <v>0</v>
      </c>
      <c r="Q22" s="105">
        <v>0</v>
      </c>
      <c r="R22" s="85">
        <v>597095.982</v>
      </c>
      <c r="S22" s="105">
        <v>0</v>
      </c>
      <c r="T22" s="85">
        <v>0</v>
      </c>
      <c r="U22" s="105">
        <v>0</v>
      </c>
      <c r="V22" s="85">
        <v>0</v>
      </c>
      <c r="W22" s="105">
        <v>0</v>
      </c>
      <c r="X22" s="105">
        <f t="shared" si="3"/>
        <v>0</v>
      </c>
      <c r="Y22" s="85">
        <v>0</v>
      </c>
      <c r="Z22" s="105"/>
      <c r="AA22" s="85">
        <f>2035.858+208637.222</f>
        <v>210673.08000000002</v>
      </c>
      <c r="AB22" s="105"/>
      <c r="AC22" s="85">
        <v>0</v>
      </c>
      <c r="AD22" s="85">
        <v>0</v>
      </c>
      <c r="AE22" s="105"/>
      <c r="AF22" s="85">
        <v>0</v>
      </c>
      <c r="AG22" s="85">
        <v>0</v>
      </c>
      <c r="AH22" s="85">
        <v>228271.155</v>
      </c>
      <c r="AI22" s="85">
        <v>1569230.074</v>
      </c>
      <c r="AJ22" s="105">
        <v>70790.72</v>
      </c>
      <c r="AK22" s="85">
        <v>771747.161</v>
      </c>
      <c r="AL22" s="105">
        <v>0</v>
      </c>
      <c r="AM22" s="85">
        <v>0</v>
      </c>
      <c r="AN22" s="105"/>
      <c r="AO22" s="85">
        <v>0</v>
      </c>
      <c r="AP22" s="105"/>
      <c r="AQ22" s="85">
        <v>0</v>
      </c>
      <c r="AR22" s="85">
        <v>17690.929</v>
      </c>
      <c r="AS22" s="105">
        <v>5.959</v>
      </c>
      <c r="AT22" s="85">
        <v>119604.315</v>
      </c>
      <c r="AU22" s="105">
        <v>0</v>
      </c>
      <c r="AV22" s="85">
        <v>0</v>
      </c>
      <c r="AW22" s="105"/>
      <c r="AX22" s="85">
        <v>0</v>
      </c>
      <c r="AY22" s="85">
        <v>0</v>
      </c>
      <c r="AZ22" s="105"/>
      <c r="BA22" s="85">
        <v>331301.057</v>
      </c>
      <c r="BB22" s="85">
        <v>0</v>
      </c>
      <c r="BC22" s="105">
        <v>0</v>
      </c>
      <c r="BD22" s="85">
        <v>0</v>
      </c>
      <c r="BE22" s="105"/>
      <c r="BF22" s="85">
        <v>2200.367</v>
      </c>
      <c r="BG22" s="105"/>
      <c r="BH22" s="85">
        <v>0</v>
      </c>
      <c r="BI22" s="105"/>
      <c r="BJ22" s="85">
        <v>0</v>
      </c>
      <c r="BK22" s="85">
        <v>0</v>
      </c>
      <c r="BL22" s="105">
        <f>+BK22-BM22</f>
        <v>0</v>
      </c>
      <c r="BM22" s="105">
        <v>0</v>
      </c>
      <c r="BN22" s="85">
        <v>0</v>
      </c>
      <c r="BO22" s="85">
        <v>0</v>
      </c>
      <c r="BP22" s="85">
        <v>10568.724</v>
      </c>
      <c r="BQ22" s="85">
        <v>0</v>
      </c>
      <c r="BR22" s="85">
        <v>0</v>
      </c>
      <c r="BS22" s="105">
        <v>0</v>
      </c>
      <c r="BT22" s="105">
        <v>0</v>
      </c>
      <c r="BU22" s="105">
        <v>0</v>
      </c>
      <c r="BV22" s="85">
        <v>0</v>
      </c>
      <c r="BW22" s="85">
        <v>0</v>
      </c>
      <c r="BX22" s="85">
        <v>0</v>
      </c>
      <c r="BY22" s="105">
        <v>0</v>
      </c>
      <c r="BZ22" s="85">
        <v>15634.754</v>
      </c>
      <c r="CA22" s="105">
        <f t="shared" si="4"/>
        <v>0</v>
      </c>
      <c r="CB22" s="105">
        <v>15634.754</v>
      </c>
      <c r="CC22" s="85">
        <v>0</v>
      </c>
      <c r="CD22" s="85">
        <v>0</v>
      </c>
      <c r="CE22" s="105"/>
      <c r="CF22" s="85">
        <v>0</v>
      </c>
      <c r="CG22" s="85">
        <v>0</v>
      </c>
      <c r="CH22" s="85">
        <v>0</v>
      </c>
      <c r="CI22" s="85">
        <v>0</v>
      </c>
      <c r="CJ22" s="85">
        <v>0</v>
      </c>
      <c r="CK22" s="85">
        <v>0</v>
      </c>
      <c r="CL22" s="85">
        <v>0</v>
      </c>
      <c r="CM22" s="85">
        <v>31631.949</v>
      </c>
      <c r="CN22" s="85">
        <v>47587.534</v>
      </c>
      <c r="CO22" s="85">
        <v>0</v>
      </c>
      <c r="CP22" s="85">
        <v>0</v>
      </c>
      <c r="CQ22" s="105"/>
      <c r="CR22" s="85">
        <v>0</v>
      </c>
      <c r="CS22" s="85">
        <v>0</v>
      </c>
      <c r="CT22" s="85"/>
      <c r="CV22" s="30">
        <f t="shared" si="0"/>
        <v>3953237.0810000002</v>
      </c>
      <c r="CW22" s="30"/>
      <c r="CX22" s="30">
        <f t="shared" si="1"/>
        <v>94854.237</v>
      </c>
      <c r="CY22" s="30">
        <f t="shared" si="2"/>
        <v>3858382.844</v>
      </c>
      <c r="CZ22" s="85"/>
    </row>
    <row r="23" spans="1:104" ht="12.75">
      <c r="A23" s="46" t="s">
        <v>281</v>
      </c>
      <c r="B23" s="85">
        <v>0</v>
      </c>
      <c r="C23" s="105"/>
      <c r="D23" s="85">
        <v>9347</v>
      </c>
      <c r="E23" s="105">
        <v>8847</v>
      </c>
      <c r="F23" s="105">
        <v>500</v>
      </c>
      <c r="G23" s="105">
        <v>0</v>
      </c>
      <c r="H23" s="105">
        <v>0</v>
      </c>
      <c r="I23" s="105">
        <v>0</v>
      </c>
      <c r="J23" s="85">
        <v>78315.491</v>
      </c>
      <c r="K23" s="105">
        <v>0</v>
      </c>
      <c r="L23" s="85">
        <v>0</v>
      </c>
      <c r="M23" s="105">
        <v>0</v>
      </c>
      <c r="N23" s="105">
        <v>0</v>
      </c>
      <c r="O23" s="105">
        <v>0</v>
      </c>
      <c r="P23" s="85">
        <v>0</v>
      </c>
      <c r="Q23" s="105">
        <v>0</v>
      </c>
      <c r="R23" s="85">
        <v>17035</v>
      </c>
      <c r="S23" s="105">
        <v>0</v>
      </c>
      <c r="T23" s="85">
        <v>0</v>
      </c>
      <c r="U23" s="105">
        <v>0</v>
      </c>
      <c r="V23" s="85">
        <v>0</v>
      </c>
      <c r="W23" s="105">
        <v>0</v>
      </c>
      <c r="X23" s="105">
        <f t="shared" si="3"/>
        <v>0</v>
      </c>
      <c r="Y23" s="85">
        <v>50471.724</v>
      </c>
      <c r="Z23" s="105"/>
      <c r="AA23" s="85">
        <v>0</v>
      </c>
      <c r="AB23" s="105"/>
      <c r="AC23" s="85">
        <v>86035.765</v>
      </c>
      <c r="AD23" s="85">
        <v>0</v>
      </c>
      <c r="AE23" s="105"/>
      <c r="AF23" s="85">
        <v>9340</v>
      </c>
      <c r="AG23" s="85">
        <v>0</v>
      </c>
      <c r="AH23" s="85">
        <v>8146.39</v>
      </c>
      <c r="AI23" s="85">
        <v>10700</v>
      </c>
      <c r="AJ23" s="105">
        <v>0</v>
      </c>
      <c r="AK23" s="85">
        <v>5724.577</v>
      </c>
      <c r="AL23" s="105">
        <v>0</v>
      </c>
      <c r="AM23" s="85">
        <v>0</v>
      </c>
      <c r="AN23" s="105"/>
      <c r="AO23" s="85">
        <v>0</v>
      </c>
      <c r="AP23" s="105"/>
      <c r="AQ23" s="85">
        <v>0</v>
      </c>
      <c r="AR23" s="85">
        <v>0</v>
      </c>
      <c r="AS23" s="105">
        <v>0</v>
      </c>
      <c r="AT23" s="85">
        <v>0</v>
      </c>
      <c r="AU23" s="105">
        <v>0</v>
      </c>
      <c r="AV23" s="85">
        <v>0</v>
      </c>
      <c r="AW23" s="105"/>
      <c r="AX23" s="85">
        <v>0</v>
      </c>
      <c r="AY23" s="85">
        <v>0</v>
      </c>
      <c r="AZ23" s="105"/>
      <c r="BA23" s="85">
        <v>305.012</v>
      </c>
      <c r="BB23" s="85">
        <v>0</v>
      </c>
      <c r="BC23" s="105">
        <v>0</v>
      </c>
      <c r="BD23" s="85">
        <v>14800</v>
      </c>
      <c r="BE23" s="105"/>
      <c r="BF23" s="85">
        <v>0</v>
      </c>
      <c r="BG23" s="105"/>
      <c r="BH23" s="85">
        <v>0</v>
      </c>
      <c r="BI23" s="105"/>
      <c r="BJ23" s="85">
        <v>0</v>
      </c>
      <c r="BK23" s="85">
        <v>0</v>
      </c>
      <c r="BL23" s="105">
        <f>+BK23-BM23</f>
        <v>0</v>
      </c>
      <c r="BM23" s="105">
        <v>0</v>
      </c>
      <c r="BN23" s="85">
        <v>0</v>
      </c>
      <c r="BO23" s="85">
        <v>0</v>
      </c>
      <c r="BP23" s="85">
        <v>0</v>
      </c>
      <c r="BQ23" s="85">
        <v>0</v>
      </c>
      <c r="BR23" s="85">
        <v>0</v>
      </c>
      <c r="BS23" s="105">
        <v>0</v>
      </c>
      <c r="BT23" s="105">
        <v>0</v>
      </c>
      <c r="BU23" s="105">
        <v>0</v>
      </c>
      <c r="BV23" s="85">
        <v>0</v>
      </c>
      <c r="BW23" s="85">
        <v>0</v>
      </c>
      <c r="BX23" s="85">
        <v>0</v>
      </c>
      <c r="BY23" s="105">
        <v>0</v>
      </c>
      <c r="BZ23" s="85">
        <v>0</v>
      </c>
      <c r="CA23" s="105">
        <f t="shared" si="4"/>
        <v>0</v>
      </c>
      <c r="CB23" s="105"/>
      <c r="CC23" s="85">
        <v>0</v>
      </c>
      <c r="CD23" s="85">
        <v>0</v>
      </c>
      <c r="CE23" s="105"/>
      <c r="CF23" s="85">
        <v>28495.408</v>
      </c>
      <c r="CG23" s="85">
        <v>0</v>
      </c>
      <c r="CH23" s="85">
        <v>0</v>
      </c>
      <c r="CI23" s="85">
        <v>0</v>
      </c>
      <c r="CJ23" s="85">
        <v>0</v>
      </c>
      <c r="CK23" s="85">
        <v>0</v>
      </c>
      <c r="CL23" s="85">
        <v>0</v>
      </c>
      <c r="CM23" s="85">
        <v>0</v>
      </c>
      <c r="CN23" s="85">
        <v>0</v>
      </c>
      <c r="CO23" s="85">
        <v>0</v>
      </c>
      <c r="CP23" s="85">
        <v>0</v>
      </c>
      <c r="CQ23" s="105"/>
      <c r="CR23" s="85">
        <v>0</v>
      </c>
      <c r="CS23" s="85">
        <v>0</v>
      </c>
      <c r="CT23" s="85"/>
      <c r="CV23" s="30">
        <f t="shared" si="0"/>
        <v>318716.36699999997</v>
      </c>
      <c r="CW23" s="30"/>
      <c r="CX23" s="30">
        <f t="shared" si="1"/>
        <v>37842.407999999996</v>
      </c>
      <c r="CY23" s="30">
        <f t="shared" si="2"/>
        <v>280873.959</v>
      </c>
      <c r="CZ23" s="85"/>
    </row>
    <row r="24" spans="1:104" ht="12.75">
      <c r="A24" s="108" t="s">
        <v>244</v>
      </c>
      <c r="B24" s="30">
        <f aca="true" t="shared" si="5" ref="B24:H24">SUM(B18:B23)</f>
        <v>84883152.56099999</v>
      </c>
      <c r="C24" s="103"/>
      <c r="D24" s="30">
        <f t="shared" si="5"/>
        <v>75878179</v>
      </c>
      <c r="E24" s="103">
        <f t="shared" si="5"/>
        <v>63017564</v>
      </c>
      <c r="F24" s="103">
        <f t="shared" si="5"/>
        <v>12383159</v>
      </c>
      <c r="G24" s="103">
        <f t="shared" si="5"/>
        <v>30815</v>
      </c>
      <c r="H24" s="103">
        <f t="shared" si="5"/>
        <v>0</v>
      </c>
      <c r="J24" s="30">
        <f aca="true" t="shared" si="6" ref="J24:BH24">SUM(J18:J23)</f>
        <v>47587892.703</v>
      </c>
      <c r="L24" s="30">
        <f t="shared" si="6"/>
        <v>41488867</v>
      </c>
      <c r="M24" s="103">
        <f t="shared" si="6"/>
        <v>41488867.538</v>
      </c>
      <c r="N24" s="103">
        <f t="shared" si="6"/>
        <v>0</v>
      </c>
      <c r="O24" s="103"/>
      <c r="P24" s="30">
        <f t="shared" si="6"/>
        <v>41243272.745</v>
      </c>
      <c r="Q24" s="103">
        <f t="shared" si="6"/>
        <v>3491.676</v>
      </c>
      <c r="R24" s="30">
        <f t="shared" si="6"/>
        <v>19354554.375</v>
      </c>
      <c r="S24" s="105"/>
      <c r="T24" s="30">
        <f t="shared" si="6"/>
        <v>18916486.633</v>
      </c>
      <c r="U24" s="105"/>
      <c r="V24" s="30">
        <f t="shared" si="6"/>
        <v>16997128.252</v>
      </c>
      <c r="W24" s="103">
        <f t="shared" si="6"/>
        <v>14645070.870000001</v>
      </c>
      <c r="X24" s="103">
        <f t="shared" si="6"/>
        <v>2352057.3819999993</v>
      </c>
      <c r="Y24" s="30">
        <f t="shared" si="6"/>
        <v>15847431.27</v>
      </c>
      <c r="AA24" s="30">
        <f t="shared" si="6"/>
        <v>14813577.048999999</v>
      </c>
      <c r="AB24" s="103"/>
      <c r="AC24" s="30">
        <f t="shared" si="6"/>
        <v>13868557.538</v>
      </c>
      <c r="AD24" s="30">
        <f t="shared" si="6"/>
        <v>11990772.424999999</v>
      </c>
      <c r="AE24" s="103"/>
      <c r="AF24" s="30">
        <f t="shared" si="6"/>
        <v>11685473</v>
      </c>
      <c r="AG24" s="30">
        <f t="shared" si="6"/>
        <v>11465671.334999999</v>
      </c>
      <c r="AH24" s="30">
        <f t="shared" si="6"/>
        <v>10607559.886999998</v>
      </c>
      <c r="AI24" s="30">
        <f t="shared" si="6"/>
        <v>10527826.428</v>
      </c>
      <c r="AJ24" s="103">
        <f t="shared" si="6"/>
        <v>82605.139</v>
      </c>
      <c r="AK24" s="30">
        <f t="shared" si="6"/>
        <v>9889789.721</v>
      </c>
      <c r="AL24" s="103">
        <f t="shared" si="6"/>
        <v>3829.7290000000003</v>
      </c>
      <c r="AM24" s="30">
        <f t="shared" si="6"/>
        <v>8743079.379999999</v>
      </c>
      <c r="AN24" s="103"/>
      <c r="AO24" s="30">
        <f t="shared" si="6"/>
        <v>8424811.39</v>
      </c>
      <c r="AP24" s="103"/>
      <c r="AQ24" s="30">
        <f t="shared" si="6"/>
        <v>7501006.055</v>
      </c>
      <c r="AR24" s="30">
        <f t="shared" si="6"/>
        <v>6850030.083000001</v>
      </c>
      <c r="AS24" s="103">
        <f t="shared" si="6"/>
        <v>2307.3309999999997</v>
      </c>
      <c r="AT24" s="30">
        <f t="shared" si="6"/>
        <v>6144651.476000001</v>
      </c>
      <c r="AU24" s="103"/>
      <c r="AV24" s="30">
        <f t="shared" si="6"/>
        <v>6440168</v>
      </c>
      <c r="AW24" s="103"/>
      <c r="AX24" s="30">
        <f t="shared" si="6"/>
        <v>5929279.685</v>
      </c>
      <c r="AY24" s="30">
        <f t="shared" si="6"/>
        <v>5536910.441</v>
      </c>
      <c r="AZ24" s="103"/>
      <c r="BA24" s="30">
        <f t="shared" si="6"/>
        <v>5035582.148000001</v>
      </c>
      <c r="BB24" s="30">
        <f t="shared" si="6"/>
        <v>4038455.8999999994</v>
      </c>
      <c r="BC24" s="103"/>
      <c r="BD24" s="30">
        <f t="shared" si="6"/>
        <v>2756730.841</v>
      </c>
      <c r="BE24" s="103"/>
      <c r="BF24" s="30">
        <f t="shared" si="6"/>
        <v>3380649.833</v>
      </c>
      <c r="BG24" s="103"/>
      <c r="BH24" s="30">
        <f t="shared" si="6"/>
        <v>3018672.588</v>
      </c>
      <c r="BJ24" s="30">
        <f aca="true" t="shared" si="7" ref="BJ24:CD24">SUM(BJ18:BJ23)</f>
        <v>2811945.079</v>
      </c>
      <c r="BK24" s="30">
        <f t="shared" si="7"/>
        <v>2499126.658</v>
      </c>
      <c r="BL24" s="103">
        <f>SUM(BL18:BL23)</f>
        <v>2288826.445</v>
      </c>
      <c r="BM24" s="103">
        <f>SUM(BM18:BM23)</f>
        <v>210300.213</v>
      </c>
      <c r="BN24" s="30">
        <f t="shared" si="7"/>
        <v>2354187.225</v>
      </c>
      <c r="BO24" s="30">
        <f t="shared" si="7"/>
        <v>2008833.317</v>
      </c>
      <c r="BP24" s="30">
        <f t="shared" si="7"/>
        <v>1943411.6609999998</v>
      </c>
      <c r="BQ24" s="30">
        <f t="shared" si="7"/>
        <v>1476290.0899999999</v>
      </c>
      <c r="BR24" s="30">
        <f t="shared" si="7"/>
        <v>1176497.852</v>
      </c>
      <c r="BS24" s="103">
        <f t="shared" si="7"/>
        <v>1018603.1880000001</v>
      </c>
      <c r="BT24" s="103">
        <f t="shared" si="7"/>
        <v>140718.462</v>
      </c>
      <c r="BU24" s="103">
        <f t="shared" si="7"/>
        <v>17176.202</v>
      </c>
      <c r="BV24" s="30">
        <f t="shared" si="7"/>
        <v>1692571.679</v>
      </c>
      <c r="BW24" s="30">
        <f t="shared" si="7"/>
        <v>1363726.6779999998</v>
      </c>
      <c r="BX24" s="30">
        <f t="shared" si="7"/>
        <v>1205560.278</v>
      </c>
      <c r="BY24" s="103"/>
      <c r="BZ24" s="30">
        <f t="shared" si="7"/>
        <v>1217515.077</v>
      </c>
      <c r="CA24" s="103">
        <f t="shared" si="7"/>
        <v>95847.79800000001</v>
      </c>
      <c r="CB24" s="103">
        <f t="shared" si="7"/>
        <v>1121667.279</v>
      </c>
      <c r="CC24" s="30">
        <f t="shared" si="7"/>
        <v>1189884.171</v>
      </c>
      <c r="CD24" s="30">
        <f t="shared" si="7"/>
        <v>1066040.475</v>
      </c>
      <c r="CE24" s="103"/>
      <c r="CF24" s="30">
        <f aca="true" t="shared" si="8" ref="CF24:CS24">SUM(CF18:CF23)</f>
        <v>1055209.152</v>
      </c>
      <c r="CG24" s="30">
        <f t="shared" si="8"/>
        <v>762925.755</v>
      </c>
      <c r="CH24" s="30">
        <f t="shared" si="8"/>
        <v>638404.9880000001</v>
      </c>
      <c r="CI24" s="30">
        <f t="shared" si="8"/>
        <v>589580.611</v>
      </c>
      <c r="CJ24" s="30">
        <f>SUM(CJ18:CJ23)</f>
        <v>428765.759</v>
      </c>
      <c r="CK24" s="30">
        <f t="shared" si="8"/>
        <v>462636.797</v>
      </c>
      <c r="CL24" s="30">
        <f t="shared" si="8"/>
        <v>401821.896</v>
      </c>
      <c r="CM24" s="30">
        <f t="shared" si="8"/>
        <v>268516.72000000003</v>
      </c>
      <c r="CN24" s="30">
        <f t="shared" si="8"/>
        <v>163454.872</v>
      </c>
      <c r="CO24" s="30">
        <f>SUM(CO18:CO23)</f>
        <v>83317.417</v>
      </c>
      <c r="CP24" s="30">
        <f>SUM(CP18:CP23)</f>
        <v>73866.13799999999</v>
      </c>
      <c r="CQ24" s="103"/>
      <c r="CR24" s="30">
        <f t="shared" si="8"/>
        <v>54898.875</v>
      </c>
      <c r="CS24" s="30">
        <f t="shared" si="8"/>
        <v>7967.82</v>
      </c>
      <c r="CT24" s="30"/>
      <c r="CV24" s="30">
        <f t="shared" si="0"/>
        <v>557843176.7820002</v>
      </c>
      <c r="CW24" s="30"/>
      <c r="CX24" s="30">
        <f t="shared" si="1"/>
        <v>95120145.51599999</v>
      </c>
      <c r="CY24" s="30">
        <f t="shared" si="2"/>
        <v>462723031.266</v>
      </c>
      <c r="CZ24" s="30"/>
    </row>
    <row r="25" spans="1:104" ht="12.75">
      <c r="A25" s="108" t="s">
        <v>308</v>
      </c>
      <c r="B25" s="30">
        <f>B24+B15+B14+B13+B12+B11+B10</f>
        <v>85106147.042</v>
      </c>
      <c r="C25" s="103"/>
      <c r="D25" s="30">
        <f>D24+D15+D14+D13+D12+D11+D10</f>
        <v>76010892</v>
      </c>
      <c r="E25" s="103">
        <f>E24+E15+E14+E13+E12+E11+E10</f>
        <v>63083920</v>
      </c>
      <c r="F25" s="103">
        <f>F24+F15+F14+F13+F12+F11+F10</f>
        <v>12449515</v>
      </c>
      <c r="G25" s="103">
        <f>G24+G15+G14+G13+G12+G11+G10</f>
        <v>30815</v>
      </c>
      <c r="H25" s="103">
        <f>H24+H15+H14+H13+H12+H11+H10</f>
        <v>0</v>
      </c>
      <c r="I25" s="103">
        <f>SUM(I18:I23)</f>
        <v>446642</v>
      </c>
      <c r="J25" s="30">
        <f aca="true" t="shared" si="9" ref="J25:CD25">J24+J15+J14+J13+J12+J11+J10</f>
        <v>47852574.789000005</v>
      </c>
      <c r="K25" s="103">
        <f>SUM(K18:K23)</f>
        <v>36847.076</v>
      </c>
      <c r="L25" s="30">
        <f t="shared" si="9"/>
        <v>41721832</v>
      </c>
      <c r="M25" s="103">
        <f>M24+M15+M14+M13+M12+M11+M10</f>
        <v>41721831.703</v>
      </c>
      <c r="N25" s="103">
        <f>N24+N15+N14+N13+N12+N11+N10</f>
        <v>0</v>
      </c>
      <c r="O25" s="103">
        <f>SUM(O18:O23)</f>
        <v>0</v>
      </c>
      <c r="P25" s="30">
        <f t="shared" si="9"/>
        <v>41282213.952</v>
      </c>
      <c r="Q25" s="103">
        <f>SUM(Q18:Q23)</f>
        <v>3491.676</v>
      </c>
      <c r="R25" s="30">
        <f t="shared" si="9"/>
        <v>19354554.375</v>
      </c>
      <c r="S25" s="103">
        <f>SUM(S18:S23)</f>
        <v>28516.696</v>
      </c>
      <c r="T25" s="30">
        <f t="shared" si="9"/>
        <v>18916486.633</v>
      </c>
      <c r="U25" s="103">
        <f>SUM(U18:U23)</f>
        <v>17589.811</v>
      </c>
      <c r="V25" s="30">
        <f t="shared" si="9"/>
        <v>16997128.252</v>
      </c>
      <c r="W25" s="103">
        <f>W24+W15+W14+W13+W12+W11+W10</f>
        <v>14645070.870000001</v>
      </c>
      <c r="X25" s="103">
        <f>X24+X15+X14+X13+X12+X11+X10</f>
        <v>2352057.3819999993</v>
      </c>
      <c r="Y25" s="30">
        <f t="shared" si="9"/>
        <v>15917073.761</v>
      </c>
      <c r="Z25" s="103"/>
      <c r="AA25" s="30">
        <f t="shared" si="9"/>
        <v>14878989.929999998</v>
      </c>
      <c r="AB25" s="103"/>
      <c r="AC25" s="30">
        <f t="shared" si="9"/>
        <v>13897322.8</v>
      </c>
      <c r="AD25" s="30">
        <f t="shared" si="9"/>
        <v>12001882.108</v>
      </c>
      <c r="AE25" s="103">
        <v>4807</v>
      </c>
      <c r="AF25" s="30">
        <f t="shared" si="9"/>
        <v>11685473</v>
      </c>
      <c r="AG25" s="30">
        <f t="shared" si="9"/>
        <v>11465671.334999999</v>
      </c>
      <c r="AH25" s="30">
        <f t="shared" si="9"/>
        <v>10607559.886999998</v>
      </c>
      <c r="AI25" s="30">
        <f t="shared" si="9"/>
        <v>10527826.428</v>
      </c>
      <c r="AJ25" s="103">
        <f t="shared" si="9"/>
        <v>82605.139</v>
      </c>
      <c r="AK25" s="30">
        <f t="shared" si="9"/>
        <v>9929705.05</v>
      </c>
      <c r="AL25" s="103">
        <f>SUM(AL18:AL23)</f>
        <v>3829.7290000000003</v>
      </c>
      <c r="AM25" s="30">
        <f t="shared" si="9"/>
        <v>8743079.379999999</v>
      </c>
      <c r="AN25" s="103">
        <v>8261355</v>
      </c>
      <c r="AO25" s="30">
        <f t="shared" si="9"/>
        <v>8424811.39</v>
      </c>
      <c r="AP25" s="103">
        <v>7690145</v>
      </c>
      <c r="AQ25" s="30">
        <f t="shared" si="9"/>
        <v>7515751.927</v>
      </c>
      <c r="AR25" s="30">
        <f t="shared" si="9"/>
        <v>6879879.1280000005</v>
      </c>
      <c r="AS25" s="103">
        <f t="shared" si="9"/>
        <v>2317.3309999999997</v>
      </c>
      <c r="AT25" s="30">
        <f t="shared" si="9"/>
        <v>6144651.476000001</v>
      </c>
      <c r="AU25" s="103">
        <f>SUM(AU18:AU23)</f>
        <v>2914.042</v>
      </c>
      <c r="AV25" s="30">
        <f t="shared" si="9"/>
        <v>6440168</v>
      </c>
      <c r="AW25" s="103"/>
      <c r="AX25" s="30">
        <f t="shared" si="9"/>
        <v>5929279.685</v>
      </c>
      <c r="AY25" s="30">
        <f t="shared" si="9"/>
        <v>5536910.441</v>
      </c>
      <c r="AZ25" s="103">
        <v>4644565.345</v>
      </c>
      <c r="BA25" s="30">
        <f t="shared" si="9"/>
        <v>5041597.157000001</v>
      </c>
      <c r="BB25" s="30">
        <f t="shared" si="9"/>
        <v>4038455.8999999994</v>
      </c>
      <c r="BC25" s="103">
        <f>SUM(BC18:BC23)</f>
        <v>3922675.05</v>
      </c>
      <c r="BD25" s="30">
        <f t="shared" si="9"/>
        <v>2756730.841</v>
      </c>
      <c r="BE25" s="103"/>
      <c r="BF25" s="30">
        <f t="shared" si="9"/>
        <v>3382992.025</v>
      </c>
      <c r="BG25" s="103"/>
      <c r="BH25" s="30">
        <f t="shared" si="9"/>
        <v>3018672.588</v>
      </c>
      <c r="BI25" s="103"/>
      <c r="BJ25" s="30">
        <f t="shared" si="9"/>
        <v>2811945.079</v>
      </c>
      <c r="BK25" s="30">
        <f t="shared" si="9"/>
        <v>2499126.658</v>
      </c>
      <c r="BL25" s="103">
        <f>BL24+BL15+BL14+BL13+BL12+BL11+BL10</f>
        <v>2288826.445</v>
      </c>
      <c r="BM25" s="103">
        <f>BM24+BM15+BM14+BM13+BM12+BM11+BM10</f>
        <v>210300.213</v>
      </c>
      <c r="BN25" s="30">
        <f t="shared" si="9"/>
        <v>2354187.225</v>
      </c>
      <c r="BO25" s="30">
        <f t="shared" si="9"/>
        <v>2008833.317</v>
      </c>
      <c r="BP25" s="30">
        <f t="shared" si="9"/>
        <v>1943411.6609999998</v>
      </c>
      <c r="BQ25" s="30">
        <f t="shared" si="9"/>
        <v>1486480.7859999998</v>
      </c>
      <c r="BR25" s="30">
        <f t="shared" si="9"/>
        <v>1176497.852</v>
      </c>
      <c r="BS25" s="103">
        <f t="shared" si="9"/>
        <v>1018603.1880000001</v>
      </c>
      <c r="BT25" s="103">
        <f t="shared" si="9"/>
        <v>140718.462</v>
      </c>
      <c r="BU25" s="103">
        <f>SUM(BU18:BU23)</f>
        <v>17176.202</v>
      </c>
      <c r="BV25" s="30">
        <f t="shared" si="9"/>
        <v>1692571.679</v>
      </c>
      <c r="BW25" s="30">
        <f t="shared" si="9"/>
        <v>1363726.6779999998</v>
      </c>
      <c r="BX25" s="30">
        <f t="shared" si="9"/>
        <v>1205560.278</v>
      </c>
      <c r="BY25" s="103">
        <f>SUM(BY18:BY23)</f>
        <v>1161192.795</v>
      </c>
      <c r="BZ25" s="30">
        <f t="shared" si="9"/>
        <v>1217515.077</v>
      </c>
      <c r="CA25" s="103">
        <f>CA24+CA15+CA14+CA13+CA12+CA11+CA10</f>
        <v>95847.79800000001</v>
      </c>
      <c r="CB25" s="103">
        <f>CB24+CB15+CB14+CB13+CB12+CB11+CB10</f>
        <v>1121667.279</v>
      </c>
      <c r="CC25" s="30">
        <f t="shared" si="9"/>
        <v>1189884.171</v>
      </c>
      <c r="CD25" s="30">
        <f t="shared" si="9"/>
        <v>1066040.475</v>
      </c>
      <c r="CE25" s="103"/>
      <c r="CF25" s="30">
        <f aca="true" t="shared" si="10" ref="CF25:CS25">CF24+CF15+CF14+CF13+CF12+CF11+CF10</f>
        <v>1055209.152</v>
      </c>
      <c r="CG25" s="30">
        <f t="shared" si="10"/>
        <v>762925.755</v>
      </c>
      <c r="CH25" s="30">
        <f t="shared" si="10"/>
        <v>638404.9880000001</v>
      </c>
      <c r="CI25" s="30">
        <f t="shared" si="10"/>
        <v>589580.611</v>
      </c>
      <c r="CJ25" s="30">
        <f>CJ24+CJ15+CJ14+CJ13+CJ12+CJ11+CJ10</f>
        <v>428765.759</v>
      </c>
      <c r="CK25" s="30">
        <f t="shared" si="10"/>
        <v>462636.797</v>
      </c>
      <c r="CL25" s="30">
        <f t="shared" si="10"/>
        <v>401821.896</v>
      </c>
      <c r="CM25" s="30">
        <f t="shared" si="10"/>
        <v>268516.72000000003</v>
      </c>
      <c r="CN25" s="30">
        <f t="shared" si="10"/>
        <v>163454.872</v>
      </c>
      <c r="CO25" s="30">
        <f>CO24+CO15+CO14+CO13+CO12+CO11+CO10</f>
        <v>83317.417</v>
      </c>
      <c r="CP25" s="30">
        <f>CP24+CP15+CP14+CP13+CP12+CP11+CP10</f>
        <v>73866.13799999999</v>
      </c>
      <c r="CQ25" s="103"/>
      <c r="CR25" s="30">
        <f t="shared" si="10"/>
        <v>54898.875</v>
      </c>
      <c r="CS25" s="30">
        <f t="shared" si="10"/>
        <v>7967.82</v>
      </c>
      <c r="CT25" s="30"/>
      <c r="CV25" s="30">
        <f t="shared" si="0"/>
        <v>559013461.0160002</v>
      </c>
      <c r="CW25" s="30"/>
      <c r="CX25" s="30">
        <f t="shared" si="1"/>
        <v>95267604.38799998</v>
      </c>
      <c r="CY25" s="30">
        <f t="shared" si="2"/>
        <v>463745856.62799996</v>
      </c>
      <c r="CZ25" s="30"/>
    </row>
    <row r="26" spans="1:104" ht="3.75" customHeight="1">
      <c r="A26" s="109"/>
      <c r="B26" s="30"/>
      <c r="C26" s="103"/>
      <c r="D26" s="30"/>
      <c r="E26" s="103"/>
      <c r="F26" s="103"/>
      <c r="G26" s="103"/>
      <c r="H26" s="103"/>
      <c r="I26" s="103"/>
      <c r="J26" s="30"/>
      <c r="K26" s="103"/>
      <c r="L26" s="30"/>
      <c r="M26" s="103"/>
      <c r="N26" s="103"/>
      <c r="O26" s="103"/>
      <c r="P26" s="30"/>
      <c r="Q26" s="103"/>
      <c r="R26" s="30"/>
      <c r="S26" s="103"/>
      <c r="T26" s="30"/>
      <c r="U26" s="103"/>
      <c r="V26" s="30"/>
      <c r="W26" s="103"/>
      <c r="X26" s="103"/>
      <c r="Y26" s="30"/>
      <c r="Z26" s="103"/>
      <c r="AA26" s="30"/>
      <c r="AB26" s="103"/>
      <c r="AC26" s="30"/>
      <c r="AD26" s="30"/>
      <c r="AE26" s="103"/>
      <c r="AF26" s="30"/>
      <c r="AG26" s="30"/>
      <c r="AH26" s="30"/>
      <c r="AI26" s="30"/>
      <c r="AJ26" s="103"/>
      <c r="AK26" s="30"/>
      <c r="AL26" s="103"/>
      <c r="AM26" s="30"/>
      <c r="AN26" s="103"/>
      <c r="AO26" s="30"/>
      <c r="AP26" s="103"/>
      <c r="AQ26" s="30"/>
      <c r="AR26" s="30"/>
      <c r="AS26" s="103"/>
      <c r="AT26" s="30"/>
      <c r="AU26" s="103"/>
      <c r="AV26" s="30"/>
      <c r="AW26" s="103"/>
      <c r="AX26" s="30"/>
      <c r="AY26" s="30"/>
      <c r="AZ26" s="103"/>
      <c r="BA26" s="30"/>
      <c r="BB26" s="30"/>
      <c r="BC26" s="103"/>
      <c r="BD26" s="30"/>
      <c r="BE26" s="103"/>
      <c r="BF26" s="30"/>
      <c r="BG26" s="103"/>
      <c r="BH26" s="30"/>
      <c r="BI26" s="103"/>
      <c r="BJ26" s="30"/>
      <c r="BK26" s="30"/>
      <c r="BL26" s="103"/>
      <c r="BM26" s="103"/>
      <c r="BN26" s="30"/>
      <c r="BO26" s="30"/>
      <c r="BP26" s="30"/>
      <c r="BQ26" s="30"/>
      <c r="BR26" s="30"/>
      <c r="BS26" s="103"/>
      <c r="BT26" s="103"/>
      <c r="BU26" s="103"/>
      <c r="BV26" s="30"/>
      <c r="BW26" s="30"/>
      <c r="BX26" s="30"/>
      <c r="BY26" s="103"/>
      <c r="BZ26" s="30"/>
      <c r="CA26" s="103"/>
      <c r="CB26" s="103"/>
      <c r="CC26" s="30"/>
      <c r="CD26" s="30"/>
      <c r="CE26" s="103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103"/>
      <c r="CR26" s="30"/>
      <c r="CS26" s="30"/>
      <c r="CT26" s="30"/>
      <c r="CV26" s="30"/>
      <c r="CW26" s="30"/>
      <c r="CX26" s="30"/>
      <c r="CY26" s="30"/>
      <c r="CZ26" s="30"/>
    </row>
    <row r="27" spans="1:103" ht="12.75">
      <c r="A27" s="98" t="s">
        <v>286</v>
      </c>
      <c r="CV27" s="30"/>
      <c r="CW27" s="30"/>
      <c r="CX27" s="30"/>
      <c r="CY27" s="30"/>
    </row>
    <row r="28" spans="1:104" ht="12.75">
      <c r="A28" s="104" t="s">
        <v>336</v>
      </c>
      <c r="B28" s="85">
        <v>0</v>
      </c>
      <c r="C28" s="105"/>
      <c r="D28" s="8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85">
        <v>0</v>
      </c>
      <c r="K28" s="105">
        <v>0</v>
      </c>
      <c r="L28" s="85">
        <v>0</v>
      </c>
      <c r="M28" s="105">
        <v>0</v>
      </c>
      <c r="N28" s="105">
        <v>0</v>
      </c>
      <c r="O28" s="105">
        <v>0</v>
      </c>
      <c r="P28" s="85">
        <v>0</v>
      </c>
      <c r="Q28" s="105">
        <v>0</v>
      </c>
      <c r="R28" s="85">
        <v>0</v>
      </c>
      <c r="S28" s="105">
        <v>0</v>
      </c>
      <c r="T28" s="85">
        <v>0</v>
      </c>
      <c r="U28" s="105">
        <v>0</v>
      </c>
      <c r="V28" s="85">
        <v>0</v>
      </c>
      <c r="W28" s="105">
        <v>10355.771</v>
      </c>
      <c r="X28" s="105">
        <f>+V28-W28</f>
        <v>-10355.771</v>
      </c>
      <c r="Y28" s="85">
        <v>0</v>
      </c>
      <c r="Z28" s="105"/>
      <c r="AA28" s="85">
        <v>0</v>
      </c>
      <c r="AB28" s="105"/>
      <c r="AC28" s="85">
        <v>0</v>
      </c>
      <c r="AD28" s="85">
        <v>0</v>
      </c>
      <c r="AE28" s="105"/>
      <c r="AF28" s="85">
        <v>0</v>
      </c>
      <c r="AG28" s="85">
        <v>0</v>
      </c>
      <c r="AH28" s="85">
        <v>0</v>
      </c>
      <c r="AI28" s="85">
        <v>0</v>
      </c>
      <c r="AJ28" s="105">
        <v>0</v>
      </c>
      <c r="AK28" s="85">
        <v>0</v>
      </c>
      <c r="AL28" s="105">
        <v>0</v>
      </c>
      <c r="AM28" s="85">
        <v>0</v>
      </c>
      <c r="AN28" s="105"/>
      <c r="AO28" s="85">
        <v>0</v>
      </c>
      <c r="AP28" s="105"/>
      <c r="AQ28" s="85">
        <v>0</v>
      </c>
      <c r="AR28" s="85">
        <v>0</v>
      </c>
      <c r="AS28" s="105">
        <v>0</v>
      </c>
      <c r="AT28" s="85">
        <v>0</v>
      </c>
      <c r="AU28" s="105">
        <v>0</v>
      </c>
      <c r="AV28" s="85">
        <v>0</v>
      </c>
      <c r="AW28" s="105"/>
      <c r="AX28" s="85">
        <v>0</v>
      </c>
      <c r="AY28" s="85">
        <v>0</v>
      </c>
      <c r="AZ28" s="105"/>
      <c r="BA28" s="85">
        <v>0</v>
      </c>
      <c r="BB28" s="85">
        <v>0</v>
      </c>
      <c r="BC28" s="105">
        <v>0</v>
      </c>
      <c r="BD28" s="85">
        <v>0</v>
      </c>
      <c r="BE28" s="105"/>
      <c r="BF28" s="85">
        <v>0</v>
      </c>
      <c r="BG28" s="105"/>
      <c r="BH28" s="85">
        <v>0</v>
      </c>
      <c r="BI28" s="105"/>
      <c r="BJ28" s="85">
        <v>0</v>
      </c>
      <c r="BK28" s="85">
        <v>0</v>
      </c>
      <c r="BL28" s="105">
        <v>0</v>
      </c>
      <c r="BM28" s="105">
        <v>0</v>
      </c>
      <c r="BN28" s="85">
        <v>0</v>
      </c>
      <c r="BO28" s="85">
        <v>0</v>
      </c>
      <c r="BP28" s="85">
        <v>0</v>
      </c>
      <c r="BQ28" s="85">
        <v>0</v>
      </c>
      <c r="BR28" s="85">
        <v>0</v>
      </c>
      <c r="BS28" s="105">
        <v>0</v>
      </c>
      <c r="BT28" s="105">
        <v>0</v>
      </c>
      <c r="BU28" s="105">
        <v>0</v>
      </c>
      <c r="BV28" s="85">
        <v>0</v>
      </c>
      <c r="BW28" s="85">
        <v>0</v>
      </c>
      <c r="BX28" s="85">
        <v>0</v>
      </c>
      <c r="BY28" s="105">
        <v>17.531</v>
      </c>
      <c r="BZ28" s="85">
        <v>0</v>
      </c>
      <c r="CA28" s="105">
        <v>0</v>
      </c>
      <c r="CB28" s="105">
        <f>+BZ28-CA28</f>
        <v>0</v>
      </c>
      <c r="CC28" s="85">
        <v>0</v>
      </c>
      <c r="CD28" s="85">
        <v>0</v>
      </c>
      <c r="CE28" s="105"/>
      <c r="CF28" s="85">
        <v>0</v>
      </c>
      <c r="CG28" s="85">
        <v>0</v>
      </c>
      <c r="CH28" s="85">
        <v>0</v>
      </c>
      <c r="CI28" s="85">
        <v>0</v>
      </c>
      <c r="CJ28" s="85">
        <v>0</v>
      </c>
      <c r="CK28" s="85">
        <v>0</v>
      </c>
      <c r="CL28" s="85">
        <v>0</v>
      </c>
      <c r="CM28" s="85">
        <v>0</v>
      </c>
      <c r="CN28" s="85">
        <v>0</v>
      </c>
      <c r="CO28" s="85">
        <v>0</v>
      </c>
      <c r="CP28" s="85">
        <v>0</v>
      </c>
      <c r="CQ28" s="105"/>
      <c r="CR28" s="85">
        <v>0</v>
      </c>
      <c r="CS28" s="85">
        <v>0</v>
      </c>
      <c r="CT28" s="85"/>
      <c r="CV28" s="30">
        <f t="shared" si="0"/>
        <v>0</v>
      </c>
      <c r="CW28" s="30"/>
      <c r="CX28" s="30">
        <f t="shared" si="1"/>
        <v>0</v>
      </c>
      <c r="CY28" s="30">
        <f t="shared" si="2"/>
        <v>0</v>
      </c>
      <c r="CZ28" s="85"/>
    </row>
    <row r="29" spans="1:104" ht="12.75">
      <c r="A29" s="104" t="s">
        <v>287</v>
      </c>
      <c r="B29" s="85">
        <v>687000</v>
      </c>
      <c r="C29" s="105"/>
      <c r="D29" s="85">
        <v>431656</v>
      </c>
      <c r="E29" s="105">
        <v>311431</v>
      </c>
      <c r="F29" s="105">
        <v>120214</v>
      </c>
      <c r="G29" s="105">
        <v>11</v>
      </c>
      <c r="H29" s="105">
        <v>0</v>
      </c>
      <c r="I29" s="105">
        <v>0</v>
      </c>
      <c r="J29" s="85">
        <v>270000</v>
      </c>
      <c r="K29" s="105">
        <v>0</v>
      </c>
      <c r="L29" s="85">
        <v>202419</v>
      </c>
      <c r="M29" s="105">
        <v>190127.18</v>
      </c>
      <c r="N29" s="105">
        <v>12080.236</v>
      </c>
      <c r="O29" s="105">
        <v>211.648</v>
      </c>
      <c r="P29" s="85">
        <v>121100.864</v>
      </c>
      <c r="Q29" s="105">
        <v>0</v>
      </c>
      <c r="R29" s="85">
        <v>90193.104</v>
      </c>
      <c r="S29" s="105">
        <v>0</v>
      </c>
      <c r="T29" s="85">
        <v>264209.207</v>
      </c>
      <c r="U29" s="105">
        <v>0</v>
      </c>
      <c r="V29" s="85">
        <v>0</v>
      </c>
      <c r="W29" s="105">
        <v>0</v>
      </c>
      <c r="X29" s="105">
        <f>+V29-W29</f>
        <v>0</v>
      </c>
      <c r="Y29" s="85">
        <v>120177.914</v>
      </c>
      <c r="Z29" s="105"/>
      <c r="AA29" s="85">
        <v>70114.512</v>
      </c>
      <c r="AB29" s="105"/>
      <c r="AC29" s="85">
        <v>86255.359</v>
      </c>
      <c r="AD29" s="85">
        <v>227326.413</v>
      </c>
      <c r="AE29" s="105"/>
      <c r="AF29" s="85">
        <v>36076</v>
      </c>
      <c r="AG29" s="85">
        <v>36818.86</v>
      </c>
      <c r="AH29" s="85">
        <v>112000</v>
      </c>
      <c r="AI29" s="85">
        <v>93471.98</v>
      </c>
      <c r="AJ29" s="105">
        <v>0</v>
      </c>
      <c r="AK29" s="85">
        <v>43094.14</v>
      </c>
      <c r="AL29" s="105">
        <v>94.14</v>
      </c>
      <c r="AM29" s="85">
        <v>0</v>
      </c>
      <c r="AN29" s="105"/>
      <c r="AO29" s="85">
        <v>0</v>
      </c>
      <c r="AP29" s="105"/>
      <c r="AQ29" s="85">
        <v>49464.403</v>
      </c>
      <c r="AR29" s="85">
        <v>47814.223</v>
      </c>
      <c r="AS29" s="105">
        <v>16.106</v>
      </c>
      <c r="AT29" s="85">
        <v>36125.473</v>
      </c>
      <c r="AU29" s="105">
        <v>32.145</v>
      </c>
      <c r="AV29" s="85">
        <v>0</v>
      </c>
      <c r="AW29" s="105"/>
      <c r="AX29" s="85">
        <v>0</v>
      </c>
      <c r="AY29" s="85">
        <v>0</v>
      </c>
      <c r="AZ29" s="105"/>
      <c r="BA29" s="85">
        <v>34000</v>
      </c>
      <c r="BB29" s="85">
        <v>0</v>
      </c>
      <c r="BC29" s="105">
        <v>0</v>
      </c>
      <c r="BD29" s="85">
        <v>16558.563</v>
      </c>
      <c r="BE29" s="105"/>
      <c r="BF29" s="85">
        <v>4500.713</v>
      </c>
      <c r="BG29" s="105"/>
      <c r="BH29" s="85">
        <v>4079.176</v>
      </c>
      <c r="BI29" s="105"/>
      <c r="BJ29" s="85">
        <v>99288.308</v>
      </c>
      <c r="BK29" s="85">
        <v>17470.239</v>
      </c>
      <c r="BL29" s="105">
        <v>0</v>
      </c>
      <c r="BM29" s="105">
        <v>20791.954</v>
      </c>
      <c r="BN29" s="85">
        <v>0</v>
      </c>
      <c r="BO29" s="85">
        <v>3.446</v>
      </c>
      <c r="BP29" s="85">
        <v>8356.857</v>
      </c>
      <c r="BQ29" s="85">
        <v>11726.988</v>
      </c>
      <c r="BR29" s="85">
        <v>64852.915</v>
      </c>
      <c r="BS29" s="105">
        <v>56110.742</v>
      </c>
      <c r="BT29" s="105">
        <v>8742.173</v>
      </c>
      <c r="BU29" s="105">
        <v>0</v>
      </c>
      <c r="BV29" s="85">
        <v>7142.526</v>
      </c>
      <c r="BW29" s="85">
        <v>0</v>
      </c>
      <c r="BX29" s="85">
        <v>0</v>
      </c>
      <c r="BY29" s="105">
        <v>0</v>
      </c>
      <c r="BZ29" s="85">
        <v>1945.284</v>
      </c>
      <c r="CA29" s="105">
        <v>156.016</v>
      </c>
      <c r="CB29" s="105">
        <f>+BZ29-CA29</f>
        <v>1789.268</v>
      </c>
      <c r="CC29" s="85">
        <v>0</v>
      </c>
      <c r="CD29" s="85">
        <v>0</v>
      </c>
      <c r="CE29" s="105"/>
      <c r="CF29" s="85">
        <v>7739.498</v>
      </c>
      <c r="CG29" s="85">
        <v>310.748</v>
      </c>
      <c r="CH29" s="85">
        <v>0</v>
      </c>
      <c r="CI29" s="85">
        <v>0</v>
      </c>
      <c r="CJ29" s="85">
        <v>6706.755</v>
      </c>
      <c r="CK29" s="85">
        <v>0</v>
      </c>
      <c r="CL29" s="85">
        <v>0</v>
      </c>
      <c r="CM29" s="85">
        <v>1584.484</v>
      </c>
      <c r="CN29" s="85">
        <v>329.429</v>
      </c>
      <c r="CO29" s="85">
        <v>0</v>
      </c>
      <c r="CP29" s="85">
        <v>0</v>
      </c>
      <c r="CQ29" s="105"/>
      <c r="CR29" s="85">
        <v>16376.629</v>
      </c>
      <c r="CS29" s="85">
        <v>0</v>
      </c>
      <c r="CT29" s="85"/>
      <c r="CV29" s="30">
        <f t="shared" si="0"/>
        <v>3328290.010000001</v>
      </c>
      <c r="CW29" s="30"/>
      <c r="CX29" s="30">
        <f t="shared" si="1"/>
        <v>680254.4530000001</v>
      </c>
      <c r="CY29" s="30">
        <f t="shared" si="2"/>
        <v>2648035.5570000005</v>
      </c>
      <c r="CZ29" s="85"/>
    </row>
    <row r="30" spans="1:104" ht="12.75">
      <c r="A30" s="104" t="s">
        <v>288</v>
      </c>
      <c r="B30" s="85">
        <v>27798.163</v>
      </c>
      <c r="C30" s="105"/>
      <c r="D30" s="85">
        <v>10215</v>
      </c>
      <c r="E30" s="105">
        <v>5794</v>
      </c>
      <c r="F30" s="105">
        <v>3916</v>
      </c>
      <c r="G30" s="105">
        <v>0</v>
      </c>
      <c r="H30" s="105">
        <v>0</v>
      </c>
      <c r="I30" s="105">
        <v>506</v>
      </c>
      <c r="J30" s="85">
        <v>307282.858</v>
      </c>
      <c r="K30" s="105">
        <v>2294.207</v>
      </c>
      <c r="L30" s="85">
        <v>11903</v>
      </c>
      <c r="M30" s="105"/>
      <c r="N30" s="105">
        <v>94753.475</v>
      </c>
      <c r="O30" s="105">
        <v>50403.648</v>
      </c>
      <c r="P30" s="85">
        <v>6902.277</v>
      </c>
      <c r="Q30" s="105">
        <v>0</v>
      </c>
      <c r="R30" s="85">
        <v>8437.893</v>
      </c>
      <c r="S30" s="105">
        <v>52300</v>
      </c>
      <c r="T30" s="85">
        <v>0</v>
      </c>
      <c r="U30" s="105">
        <v>0</v>
      </c>
      <c r="V30" s="85">
        <v>0</v>
      </c>
      <c r="W30" s="105">
        <v>0</v>
      </c>
      <c r="X30" s="105">
        <f>+V30-W30</f>
        <v>0</v>
      </c>
      <c r="Y30" s="85">
        <v>107240.94</v>
      </c>
      <c r="Z30" s="105"/>
      <c r="AA30" s="85">
        <v>537483.501</v>
      </c>
      <c r="AB30" s="105"/>
      <c r="AC30" s="85">
        <v>13738.092</v>
      </c>
      <c r="AD30" s="85">
        <v>1310</v>
      </c>
      <c r="AE30" s="105"/>
      <c r="AF30" s="85">
        <v>7956</v>
      </c>
      <c r="AG30" s="85">
        <v>32387.378</v>
      </c>
      <c r="AH30" s="85">
        <v>1583.699</v>
      </c>
      <c r="AI30" s="85">
        <v>87.249</v>
      </c>
      <c r="AJ30" s="105">
        <v>2258.31</v>
      </c>
      <c r="AK30" s="85">
        <v>551.492</v>
      </c>
      <c r="AL30" s="105">
        <v>0</v>
      </c>
      <c r="AM30" s="85">
        <v>278.725</v>
      </c>
      <c r="AN30" s="105"/>
      <c r="AO30" s="85">
        <v>23139.939</v>
      </c>
      <c r="AP30" s="105"/>
      <c r="AQ30" s="85">
        <v>1046.64</v>
      </c>
      <c r="AR30" s="85">
        <v>5911.899</v>
      </c>
      <c r="AS30" s="105">
        <v>1.991</v>
      </c>
      <c r="AT30" s="85">
        <v>544.857</v>
      </c>
      <c r="AU30" s="105">
        <v>0</v>
      </c>
      <c r="AV30" s="85">
        <v>4392</v>
      </c>
      <c r="AW30" s="105"/>
      <c r="AX30" s="85">
        <v>54083.302</v>
      </c>
      <c r="AY30" s="85">
        <v>9195.262</v>
      </c>
      <c r="AZ30" s="105"/>
      <c r="BA30" s="85">
        <v>0</v>
      </c>
      <c r="BB30" s="85">
        <v>555.958</v>
      </c>
      <c r="BC30" s="105">
        <v>555.958</v>
      </c>
      <c r="BD30" s="85">
        <v>0</v>
      </c>
      <c r="BE30" s="105"/>
      <c r="BF30" s="85">
        <v>913.73</v>
      </c>
      <c r="BG30" s="105"/>
      <c r="BH30" s="85">
        <v>0</v>
      </c>
      <c r="BI30" s="105"/>
      <c r="BJ30" s="85">
        <v>18617.441</v>
      </c>
      <c r="BK30" s="85">
        <v>0</v>
      </c>
      <c r="BL30" s="105">
        <v>0</v>
      </c>
      <c r="BM30" s="105">
        <v>0</v>
      </c>
      <c r="BN30" s="85">
        <v>15936.269</v>
      </c>
      <c r="BO30" s="85">
        <v>0</v>
      </c>
      <c r="BP30" s="85">
        <v>690.749</v>
      </c>
      <c r="BQ30" s="85">
        <v>8280.679</v>
      </c>
      <c r="BR30" s="85">
        <v>199757.299</v>
      </c>
      <c r="BS30" s="105">
        <v>199757.299</v>
      </c>
      <c r="BT30" s="105">
        <v>0</v>
      </c>
      <c r="BU30" s="105">
        <v>0</v>
      </c>
      <c r="BV30" s="85">
        <v>0</v>
      </c>
      <c r="BW30" s="85">
        <v>5321.136</v>
      </c>
      <c r="BX30" s="85">
        <v>1880.147</v>
      </c>
      <c r="BY30" s="105">
        <v>1812.085</v>
      </c>
      <c r="BZ30" s="85">
        <v>690.02</v>
      </c>
      <c r="CA30" s="105">
        <v>0</v>
      </c>
      <c r="CB30" s="105">
        <f>+BZ30-CA30</f>
        <v>690.02</v>
      </c>
      <c r="CC30" s="85">
        <v>3770.688</v>
      </c>
      <c r="CD30" s="85">
        <v>0</v>
      </c>
      <c r="CE30" s="105"/>
      <c r="CF30" s="85">
        <v>630.726</v>
      </c>
      <c r="CG30" s="85">
        <v>0</v>
      </c>
      <c r="CH30" s="85">
        <v>89.245</v>
      </c>
      <c r="CI30" s="85">
        <v>0</v>
      </c>
      <c r="CJ30" s="85">
        <v>0</v>
      </c>
      <c r="CK30" s="85">
        <v>0</v>
      </c>
      <c r="CL30" s="85">
        <v>0</v>
      </c>
      <c r="CM30" s="85">
        <v>562.363</v>
      </c>
      <c r="CN30" s="85">
        <v>233.022</v>
      </c>
      <c r="CO30" s="85">
        <v>0.399</v>
      </c>
      <c r="CP30" s="85">
        <v>1696.278</v>
      </c>
      <c r="CQ30" s="105"/>
      <c r="CR30" s="85">
        <v>0</v>
      </c>
      <c r="CS30" s="85">
        <v>0</v>
      </c>
      <c r="CT30" s="85"/>
      <c r="CV30" s="30">
        <f t="shared" si="0"/>
        <v>1433096.3150000009</v>
      </c>
      <c r="CW30" s="30"/>
      <c r="CX30" s="30">
        <f t="shared" si="1"/>
        <v>253010.315</v>
      </c>
      <c r="CY30" s="30">
        <f t="shared" si="2"/>
        <v>1180086.0000000007</v>
      </c>
      <c r="CZ30" s="85"/>
    </row>
    <row r="31" spans="1:104" ht="12.75">
      <c r="A31" s="108" t="s">
        <v>245</v>
      </c>
      <c r="B31" s="30">
        <f>SUM(B28:B30)</f>
        <v>714798.163</v>
      </c>
      <c r="C31" s="103"/>
      <c r="D31" s="30">
        <f>SUM(D28:D30)+1</f>
        <v>441872</v>
      </c>
      <c r="E31" s="103">
        <f>SUM(E28:E30)</f>
        <v>317225</v>
      </c>
      <c r="F31" s="103">
        <f>SUM(F28:F30)</f>
        <v>124130</v>
      </c>
      <c r="G31" s="103">
        <f>SUM(G28:G30)</f>
        <v>11</v>
      </c>
      <c r="H31" s="103">
        <f>SUM(H28:H30)</f>
        <v>0</v>
      </c>
      <c r="I31" s="103">
        <f>SUM(I28:I30)</f>
        <v>506</v>
      </c>
      <c r="J31" s="30">
        <f aca="true" t="shared" si="11" ref="J31:AR31">SUM(J28:J30)</f>
        <v>577282.858</v>
      </c>
      <c r="K31" s="103">
        <f t="shared" si="11"/>
        <v>2294.207</v>
      </c>
      <c r="L31" s="30">
        <f t="shared" si="11"/>
        <v>214322</v>
      </c>
      <c r="M31" s="103">
        <f t="shared" si="11"/>
        <v>190127.18</v>
      </c>
      <c r="N31" s="103">
        <f t="shared" si="11"/>
        <v>106833.71100000001</v>
      </c>
      <c r="O31" s="103">
        <f t="shared" si="11"/>
        <v>50615.296</v>
      </c>
      <c r="P31" s="30">
        <f t="shared" si="11"/>
        <v>128003.141</v>
      </c>
      <c r="Q31" s="103">
        <f>SUM(Q28:Q30)</f>
        <v>0</v>
      </c>
      <c r="R31" s="30">
        <f t="shared" si="11"/>
        <v>98630.997</v>
      </c>
      <c r="S31" s="103">
        <f t="shared" si="11"/>
        <v>52300</v>
      </c>
      <c r="T31" s="30">
        <f t="shared" si="11"/>
        <v>264209.207</v>
      </c>
      <c r="U31" s="103">
        <f t="shared" si="11"/>
        <v>0</v>
      </c>
      <c r="V31" s="30">
        <f t="shared" si="11"/>
        <v>0</v>
      </c>
      <c r="W31" s="103">
        <f>SUM(W28:W30)</f>
        <v>10355.771</v>
      </c>
      <c r="X31" s="103">
        <f>SUM(X28:X30)</f>
        <v>-10355.771</v>
      </c>
      <c r="Y31" s="30">
        <f t="shared" si="11"/>
        <v>227418.854</v>
      </c>
      <c r="Z31" s="103"/>
      <c r="AA31" s="30">
        <f t="shared" si="11"/>
        <v>607598.013</v>
      </c>
      <c r="AB31" s="103"/>
      <c r="AC31" s="30">
        <f t="shared" si="11"/>
        <v>99993.451</v>
      </c>
      <c r="AD31" s="30">
        <f t="shared" si="11"/>
        <v>228636.413</v>
      </c>
      <c r="AE31" s="103">
        <v>0</v>
      </c>
      <c r="AF31" s="30">
        <f t="shared" si="11"/>
        <v>44032</v>
      </c>
      <c r="AG31" s="30">
        <f t="shared" si="11"/>
        <v>69206.238</v>
      </c>
      <c r="AH31" s="30">
        <f t="shared" si="11"/>
        <v>113583.699</v>
      </c>
      <c r="AI31" s="30">
        <f t="shared" si="11"/>
        <v>93559.22899999999</v>
      </c>
      <c r="AJ31" s="103">
        <f t="shared" si="11"/>
        <v>2258.31</v>
      </c>
      <c r="AK31" s="30">
        <f t="shared" si="11"/>
        <v>43645.632</v>
      </c>
      <c r="AL31" s="103">
        <f t="shared" si="11"/>
        <v>94.14</v>
      </c>
      <c r="AM31" s="30">
        <f t="shared" si="11"/>
        <v>278.725</v>
      </c>
      <c r="AN31" s="103">
        <v>279</v>
      </c>
      <c r="AO31" s="30">
        <f t="shared" si="11"/>
        <v>23139.939</v>
      </c>
      <c r="AP31" s="103">
        <v>21122</v>
      </c>
      <c r="AQ31" s="30">
        <f t="shared" si="11"/>
        <v>50511.043</v>
      </c>
      <c r="AR31" s="30">
        <f t="shared" si="11"/>
        <v>53726.121999999996</v>
      </c>
      <c r="AS31" s="103">
        <f>SUM(AS28:AS30)</f>
        <v>18.097</v>
      </c>
      <c r="AT31" s="30">
        <f>SUM(AT29:AT30)</f>
        <v>36670.33</v>
      </c>
      <c r="AU31" s="103">
        <f>SUM(AU29:AU30)</f>
        <v>32.145</v>
      </c>
      <c r="AV31" s="30">
        <f aca="true" t="shared" si="12" ref="AV31:CD31">SUM(AV28:AV30)</f>
        <v>4392</v>
      </c>
      <c r="AW31" s="103"/>
      <c r="AX31" s="30">
        <f t="shared" si="12"/>
        <v>54083.302</v>
      </c>
      <c r="AY31" s="30">
        <f t="shared" si="12"/>
        <v>9195.262</v>
      </c>
      <c r="AZ31" s="103">
        <v>7713.326</v>
      </c>
      <c r="BA31" s="30">
        <f t="shared" si="12"/>
        <v>34000</v>
      </c>
      <c r="BB31" s="30">
        <f t="shared" si="12"/>
        <v>555.958</v>
      </c>
      <c r="BC31" s="103">
        <f t="shared" si="12"/>
        <v>555.958</v>
      </c>
      <c r="BD31" s="30">
        <f t="shared" si="12"/>
        <v>16558.563</v>
      </c>
      <c r="BE31" s="103"/>
      <c r="BF31" s="30">
        <f t="shared" si="12"/>
        <v>5414.442999999999</v>
      </c>
      <c r="BG31" s="103"/>
      <c r="BH31" s="30">
        <f t="shared" si="12"/>
        <v>4079.176</v>
      </c>
      <c r="BI31" s="103"/>
      <c r="BJ31" s="30">
        <f t="shared" si="12"/>
        <v>117905.74900000001</v>
      </c>
      <c r="BK31" s="30">
        <f t="shared" si="12"/>
        <v>17470.239</v>
      </c>
      <c r="BL31" s="103">
        <f>SUM(BL28:BL30)</f>
        <v>0</v>
      </c>
      <c r="BM31" s="103">
        <f>SUM(BM28:BM30)</f>
        <v>20791.954</v>
      </c>
      <c r="BN31" s="30">
        <f t="shared" si="12"/>
        <v>15936.269</v>
      </c>
      <c r="BO31" s="30">
        <f t="shared" si="12"/>
        <v>3.446</v>
      </c>
      <c r="BP31" s="30">
        <f t="shared" si="12"/>
        <v>9047.606</v>
      </c>
      <c r="BQ31" s="30">
        <f t="shared" si="12"/>
        <v>20007.667</v>
      </c>
      <c r="BR31" s="30">
        <f t="shared" si="12"/>
        <v>264610.214</v>
      </c>
      <c r="BS31" s="103">
        <f t="shared" si="12"/>
        <v>255868.041</v>
      </c>
      <c r="BT31" s="103">
        <f t="shared" si="12"/>
        <v>8742.173</v>
      </c>
      <c r="BU31" s="103">
        <f t="shared" si="12"/>
        <v>0</v>
      </c>
      <c r="BV31" s="30">
        <f t="shared" si="12"/>
        <v>7142.526</v>
      </c>
      <c r="BW31" s="30">
        <f t="shared" si="12"/>
        <v>5321.136</v>
      </c>
      <c r="BX31" s="30">
        <f t="shared" si="12"/>
        <v>1880.147</v>
      </c>
      <c r="BY31" s="103">
        <f t="shared" si="12"/>
        <v>1829.616</v>
      </c>
      <c r="BZ31" s="30">
        <f t="shared" si="12"/>
        <v>2635.304</v>
      </c>
      <c r="CA31" s="103">
        <f>SUM(CA28:CA30)</f>
        <v>156.016</v>
      </c>
      <c r="CB31" s="103">
        <f>SUM(CB28:CB30)</f>
        <v>2479.288</v>
      </c>
      <c r="CC31" s="30">
        <f t="shared" si="12"/>
        <v>3770.688</v>
      </c>
      <c r="CD31" s="30">
        <f t="shared" si="12"/>
        <v>0</v>
      </c>
      <c r="CE31" s="103"/>
      <c r="CF31" s="30">
        <f aca="true" t="shared" si="13" ref="CF31:CS31">SUM(CF28:CF30)</f>
        <v>8370.224</v>
      </c>
      <c r="CG31" s="30">
        <f t="shared" si="13"/>
        <v>310.748</v>
      </c>
      <c r="CH31" s="30">
        <f t="shared" si="13"/>
        <v>89.245</v>
      </c>
      <c r="CI31" s="30">
        <f t="shared" si="13"/>
        <v>0</v>
      </c>
      <c r="CJ31" s="30">
        <f>SUM(CJ28:CJ30)</f>
        <v>6706.755</v>
      </c>
      <c r="CK31" s="30">
        <f t="shared" si="13"/>
        <v>0</v>
      </c>
      <c r="CL31" s="30">
        <f t="shared" si="13"/>
        <v>0</v>
      </c>
      <c r="CM31" s="30">
        <f t="shared" si="13"/>
        <v>2146.8469999999998</v>
      </c>
      <c r="CN31" s="30">
        <f t="shared" si="13"/>
        <v>562.451</v>
      </c>
      <c r="CO31" s="30">
        <f>SUM(CO28:CO30)</f>
        <v>0.399</v>
      </c>
      <c r="CP31" s="30">
        <f>SUM(CP28:CP30)</f>
        <v>1696.278</v>
      </c>
      <c r="CQ31" s="103"/>
      <c r="CR31" s="30">
        <f t="shared" si="13"/>
        <v>16376.629</v>
      </c>
      <c r="CS31" s="30">
        <f t="shared" si="13"/>
        <v>0</v>
      </c>
      <c r="CT31" s="30"/>
      <c r="CV31" s="30">
        <f t="shared" si="0"/>
        <v>4761387.324999999</v>
      </c>
      <c r="CW31" s="30"/>
      <c r="CX31" s="30">
        <f t="shared" si="1"/>
        <v>933265.7679999999</v>
      </c>
      <c r="CY31" s="30">
        <f t="shared" si="2"/>
        <v>3828121.5570000005</v>
      </c>
      <c r="CZ31" s="30"/>
    </row>
    <row r="32" spans="1:103" ht="5.25" customHeight="1">
      <c r="A32" s="46"/>
      <c r="CV32" s="30"/>
      <c r="CW32" s="30"/>
      <c r="CX32" s="30"/>
      <c r="CY32" s="30"/>
    </row>
    <row r="33" spans="1:103" ht="12.75">
      <c r="A33" s="98" t="s">
        <v>289</v>
      </c>
      <c r="CV33" s="30"/>
      <c r="CW33" s="30"/>
      <c r="CX33" s="30"/>
      <c r="CY33" s="30"/>
    </row>
    <row r="34" spans="1:104" ht="12.75">
      <c r="A34" s="46" t="s">
        <v>290</v>
      </c>
      <c r="B34" s="85">
        <v>66954.319</v>
      </c>
      <c r="C34" s="105"/>
      <c r="D34" s="85">
        <v>15420</v>
      </c>
      <c r="E34" s="105">
        <v>7710</v>
      </c>
      <c r="F34" s="105">
        <v>7710</v>
      </c>
      <c r="G34" s="105">
        <v>0</v>
      </c>
      <c r="H34" s="105">
        <v>0</v>
      </c>
      <c r="I34" s="105">
        <v>0</v>
      </c>
      <c r="J34" s="85">
        <v>21928.447</v>
      </c>
      <c r="K34" s="105">
        <v>0</v>
      </c>
      <c r="L34" s="85">
        <v>35846</v>
      </c>
      <c r="M34" s="105">
        <v>35846.156</v>
      </c>
      <c r="N34" s="105">
        <v>0</v>
      </c>
      <c r="O34" s="105">
        <v>0</v>
      </c>
      <c r="P34" s="85">
        <v>5814.096</v>
      </c>
      <c r="Q34" s="105">
        <v>0</v>
      </c>
      <c r="R34" s="85">
        <v>5585.321</v>
      </c>
      <c r="S34" s="105">
        <v>0</v>
      </c>
      <c r="T34" s="85">
        <f>8414.344+355.129</f>
        <v>8769.473</v>
      </c>
      <c r="U34" s="105">
        <v>355.129</v>
      </c>
      <c r="V34" s="85">
        <v>1872.245</v>
      </c>
      <c r="W34" s="105">
        <v>1716.079</v>
      </c>
      <c r="X34" s="105">
        <f>+V34-W34</f>
        <v>156.16599999999994</v>
      </c>
      <c r="Y34" s="85">
        <v>14955.712</v>
      </c>
      <c r="Z34" s="105"/>
      <c r="AA34" s="85">
        <v>18649.241</v>
      </c>
      <c r="AB34" s="105"/>
      <c r="AC34" s="85">
        <v>0</v>
      </c>
      <c r="AD34" s="85">
        <v>1425.955</v>
      </c>
      <c r="AE34" s="105"/>
      <c r="AF34" s="85">
        <v>0</v>
      </c>
      <c r="AG34" s="85">
        <v>0</v>
      </c>
      <c r="AH34" s="85">
        <v>1951.185</v>
      </c>
      <c r="AI34" s="85">
        <v>12192.517</v>
      </c>
      <c r="AJ34" s="105">
        <v>0</v>
      </c>
      <c r="AK34" s="85">
        <v>3770.289</v>
      </c>
      <c r="AL34" s="105">
        <v>0</v>
      </c>
      <c r="AM34" s="85">
        <v>0</v>
      </c>
      <c r="AN34" s="105"/>
      <c r="AO34" s="85">
        <v>0</v>
      </c>
      <c r="AP34" s="105"/>
      <c r="AQ34" s="85">
        <v>1713.368</v>
      </c>
      <c r="AR34" s="85">
        <v>0</v>
      </c>
      <c r="AS34" s="105">
        <v>0</v>
      </c>
      <c r="AT34" s="85">
        <v>120.231</v>
      </c>
      <c r="AU34" s="105">
        <v>0</v>
      </c>
      <c r="AV34" s="85">
        <v>0</v>
      </c>
      <c r="AW34" s="105"/>
      <c r="AX34" s="85">
        <v>0</v>
      </c>
      <c r="AY34" s="85">
        <v>0</v>
      </c>
      <c r="AZ34" s="105"/>
      <c r="BA34" s="85">
        <v>215.88</v>
      </c>
      <c r="BB34" s="85">
        <v>0</v>
      </c>
      <c r="BC34" s="105">
        <v>0</v>
      </c>
      <c r="BD34" s="85">
        <v>0</v>
      </c>
      <c r="BE34" s="105"/>
      <c r="BF34" s="85">
        <v>2570.97</v>
      </c>
      <c r="BG34" s="105"/>
      <c r="BH34" s="85">
        <v>0</v>
      </c>
      <c r="BI34" s="105"/>
      <c r="BJ34" s="85">
        <v>0</v>
      </c>
      <c r="BK34" s="85">
        <v>0</v>
      </c>
      <c r="BL34" s="105"/>
      <c r="BM34" s="105"/>
      <c r="BN34" s="85">
        <v>0</v>
      </c>
      <c r="BO34" s="85">
        <v>0</v>
      </c>
      <c r="BP34" s="85">
        <v>0</v>
      </c>
      <c r="BQ34" s="85">
        <v>1070.115</v>
      </c>
      <c r="BR34" s="85">
        <v>13399.376</v>
      </c>
      <c r="BS34" s="105">
        <v>11630.397</v>
      </c>
      <c r="BT34" s="105">
        <v>1768.979</v>
      </c>
      <c r="BU34" s="105">
        <v>0</v>
      </c>
      <c r="BV34" s="85">
        <v>0</v>
      </c>
      <c r="BW34" s="85">
        <v>0</v>
      </c>
      <c r="BX34" s="85">
        <v>0</v>
      </c>
      <c r="BY34" s="105">
        <v>0</v>
      </c>
      <c r="BZ34" s="85">
        <v>0</v>
      </c>
      <c r="CA34" s="105">
        <v>0</v>
      </c>
      <c r="CB34" s="105">
        <v>0</v>
      </c>
      <c r="CC34" s="85">
        <v>0</v>
      </c>
      <c r="CD34" s="85">
        <v>0</v>
      </c>
      <c r="CE34" s="105"/>
      <c r="CF34" s="85">
        <v>0</v>
      </c>
      <c r="CG34" s="85">
        <v>0</v>
      </c>
      <c r="CH34" s="85">
        <v>0</v>
      </c>
      <c r="CI34" s="85">
        <v>0</v>
      </c>
      <c r="CJ34" s="85">
        <v>0</v>
      </c>
      <c r="CK34" s="85">
        <v>0</v>
      </c>
      <c r="CL34" s="85">
        <v>0</v>
      </c>
      <c r="CM34" s="85">
        <v>0</v>
      </c>
      <c r="CN34" s="85">
        <v>0</v>
      </c>
      <c r="CO34" s="85">
        <v>0</v>
      </c>
      <c r="CP34" s="85">
        <v>0</v>
      </c>
      <c r="CQ34" s="105"/>
      <c r="CR34" s="85">
        <v>0</v>
      </c>
      <c r="CS34" s="85">
        <v>0</v>
      </c>
      <c r="CT34" s="85"/>
      <c r="CV34" s="30">
        <f t="shared" si="0"/>
        <v>234224.73999999993</v>
      </c>
      <c r="CW34" s="30"/>
      <c r="CX34" s="30">
        <f t="shared" si="1"/>
        <v>30532.744</v>
      </c>
      <c r="CY34" s="30">
        <f t="shared" si="2"/>
        <v>203691.99599999998</v>
      </c>
      <c r="CZ34" s="85"/>
    </row>
    <row r="35" spans="1:104" ht="12.75">
      <c r="A35" s="46" t="s">
        <v>337</v>
      </c>
      <c r="B35" s="85">
        <v>410898.315</v>
      </c>
      <c r="C35" s="105"/>
      <c r="D35" s="85">
        <v>317067</v>
      </c>
      <c r="E35" s="105">
        <v>230538</v>
      </c>
      <c r="F35" s="105">
        <v>27130</v>
      </c>
      <c r="G35" s="105">
        <v>45059</v>
      </c>
      <c r="H35" s="105">
        <v>13187</v>
      </c>
      <c r="I35" s="105">
        <v>1152</v>
      </c>
      <c r="J35" s="85">
        <v>260003.68</v>
      </c>
      <c r="K35" s="105">
        <v>1745.552</v>
      </c>
      <c r="L35" s="85">
        <v>138991</v>
      </c>
      <c r="M35" s="105">
        <v>139127.246</v>
      </c>
      <c r="N35" s="105">
        <v>0</v>
      </c>
      <c r="O35" s="105">
        <v>-136.555</v>
      </c>
      <c r="P35" s="85">
        <f>98958.661+191.183</f>
        <v>99149.844</v>
      </c>
      <c r="Q35" s="105">
        <f>37.208+191.183</f>
        <v>228.391</v>
      </c>
      <c r="R35" s="85">
        <v>66832.567</v>
      </c>
      <c r="S35" s="105">
        <v>0</v>
      </c>
      <c r="T35" s="85">
        <f>52365.01+1964.7</f>
        <v>54329.71</v>
      </c>
      <c r="U35" s="105">
        <v>1964.7</v>
      </c>
      <c r="V35" s="85">
        <v>599638.958</v>
      </c>
      <c r="W35" s="105">
        <v>443453.698</v>
      </c>
      <c r="X35" s="105">
        <f>+V35-W35</f>
        <v>156185.26</v>
      </c>
      <c r="Y35" s="85">
        <v>130936.305</v>
      </c>
      <c r="Z35" s="105"/>
      <c r="AA35" s="85">
        <v>118585.367</v>
      </c>
      <c r="AB35" s="105"/>
      <c r="AC35" s="85">
        <v>-141277.601</v>
      </c>
      <c r="AD35" s="85">
        <v>51064.655</v>
      </c>
      <c r="AE35" s="105"/>
      <c r="AF35" s="85">
        <v>14282</v>
      </c>
      <c r="AG35" s="85">
        <v>118221.003</v>
      </c>
      <c r="AH35" s="85">
        <v>309802.197</v>
      </c>
      <c r="AI35" s="85">
        <v>15843.697</v>
      </c>
      <c r="AJ35" s="105">
        <v>0</v>
      </c>
      <c r="AK35" s="85">
        <v>74298.93</v>
      </c>
      <c r="AL35" s="105">
        <v>0</v>
      </c>
      <c r="AM35" s="85">
        <v>123947.768</v>
      </c>
      <c r="AN35" s="105"/>
      <c r="AO35" s="85">
        <v>56217.027</v>
      </c>
      <c r="AP35" s="105"/>
      <c r="AQ35" s="85">
        <v>-5349.496</v>
      </c>
      <c r="AR35" s="85">
        <v>284558.88</v>
      </c>
      <c r="AS35" s="105">
        <v>95.849</v>
      </c>
      <c r="AT35" s="85">
        <v>600590.729</v>
      </c>
      <c r="AU35" s="105">
        <v>0.154</v>
      </c>
      <c r="AV35" s="85">
        <v>25469</v>
      </c>
      <c r="AW35" s="105"/>
      <c r="AX35" s="85">
        <v>139071.257</v>
      </c>
      <c r="AY35" s="85">
        <v>11801.894</v>
      </c>
      <c r="AZ35" s="105"/>
      <c r="BA35" s="85">
        <v>137368.272</v>
      </c>
      <c r="BB35" s="85">
        <v>12999.649</v>
      </c>
      <c r="BC35" s="105">
        <f>12999.649-1818.296</f>
        <v>11181.353</v>
      </c>
      <c r="BD35" s="85">
        <v>524976.608</v>
      </c>
      <c r="BE35" s="105"/>
      <c r="BF35" s="85">
        <v>12795.849</v>
      </c>
      <c r="BG35" s="105"/>
      <c r="BH35" s="85">
        <v>78868.162</v>
      </c>
      <c r="BI35" s="105"/>
      <c r="BJ35" s="85">
        <v>104483.808</v>
      </c>
      <c r="BK35" s="85">
        <v>5481.263</v>
      </c>
      <c r="BL35" s="105">
        <v>4748.203</v>
      </c>
      <c r="BM35" s="105">
        <v>733.06</v>
      </c>
      <c r="BN35" s="85">
        <v>928.865</v>
      </c>
      <c r="BO35" s="85">
        <v>1359.481</v>
      </c>
      <c r="BP35" s="85">
        <v>25011.263</v>
      </c>
      <c r="BQ35" s="85">
        <v>367850.244</v>
      </c>
      <c r="BR35" s="85">
        <f>49429.482+2390.814</f>
        <v>51820.296</v>
      </c>
      <c r="BS35" s="105">
        <v>43429.731</v>
      </c>
      <c r="BT35" s="105">
        <v>5999.751</v>
      </c>
      <c r="BU35" s="105">
        <v>2390.814</v>
      </c>
      <c r="BV35" s="85">
        <v>-2625.133</v>
      </c>
      <c r="BW35" s="85">
        <v>9557.947</v>
      </c>
      <c r="BX35" s="85">
        <v>113231.553</v>
      </c>
      <c r="BY35" s="105">
        <v>77862.104</v>
      </c>
      <c r="BZ35" s="85">
        <f>6424.376+28529.085+843.492</f>
        <v>35796.952999999994</v>
      </c>
      <c r="CA35" s="105">
        <v>6426.22</v>
      </c>
      <c r="CB35" s="105">
        <v>29370.733</v>
      </c>
      <c r="CC35" s="85">
        <v>1700.333</v>
      </c>
      <c r="CD35" s="85">
        <v>2133.172</v>
      </c>
      <c r="CE35" s="105"/>
      <c r="CF35" s="85">
        <v>2868.752</v>
      </c>
      <c r="CG35" s="85">
        <v>3970.41</v>
      </c>
      <c r="CH35" s="85">
        <v>63.107</v>
      </c>
      <c r="CI35" s="85">
        <v>545.885</v>
      </c>
      <c r="CJ35" s="85">
        <v>33616.792</v>
      </c>
      <c r="CK35" s="85">
        <v>404.848</v>
      </c>
      <c r="CL35" s="85">
        <v>15937.577</v>
      </c>
      <c r="CM35" s="85">
        <v>18994.47</v>
      </c>
      <c r="CN35" s="85">
        <v>2891.094</v>
      </c>
      <c r="CO35" s="85">
        <v>25975.623</v>
      </c>
      <c r="CP35" s="85">
        <v>8802.931</v>
      </c>
      <c r="CQ35" s="105"/>
      <c r="CR35" s="85">
        <v>4843.988</v>
      </c>
      <c r="CS35" s="85">
        <v>1043.27</v>
      </c>
      <c r="CT35" s="85"/>
      <c r="CV35" s="30">
        <f t="shared" si="0"/>
        <v>5478672.017999998</v>
      </c>
      <c r="CW35" s="30"/>
      <c r="CX35" s="30">
        <f t="shared" si="1"/>
        <v>607466.502</v>
      </c>
      <c r="CY35" s="30">
        <f t="shared" si="2"/>
        <v>4871205.516</v>
      </c>
      <c r="CZ35" s="85"/>
    </row>
    <row r="36" spans="1:104" ht="12.75">
      <c r="A36" s="46" t="s">
        <v>291</v>
      </c>
      <c r="B36" s="85">
        <v>0</v>
      </c>
      <c r="C36" s="105"/>
      <c r="D36" s="8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85">
        <v>0</v>
      </c>
      <c r="K36" s="105">
        <v>0</v>
      </c>
      <c r="L36" s="85">
        <v>0</v>
      </c>
      <c r="M36" s="105">
        <v>0</v>
      </c>
      <c r="N36" s="105">
        <v>0</v>
      </c>
      <c r="O36" s="105">
        <v>0</v>
      </c>
      <c r="P36" s="85">
        <v>0</v>
      </c>
      <c r="Q36" s="105">
        <v>0</v>
      </c>
      <c r="R36" s="85">
        <v>0</v>
      </c>
      <c r="S36" s="105">
        <v>0</v>
      </c>
      <c r="T36" s="85">
        <v>0</v>
      </c>
      <c r="U36" s="105">
        <v>0</v>
      </c>
      <c r="V36" s="85">
        <v>0</v>
      </c>
      <c r="W36" s="105">
        <v>0</v>
      </c>
      <c r="X36" s="105">
        <f>+V36-W36</f>
        <v>0</v>
      </c>
      <c r="Y36" s="85">
        <v>0</v>
      </c>
      <c r="Z36" s="105"/>
      <c r="AA36" s="85">
        <v>0</v>
      </c>
      <c r="AB36" s="105"/>
      <c r="AC36" s="85">
        <v>0</v>
      </c>
      <c r="AD36" s="85">
        <v>0</v>
      </c>
      <c r="AE36" s="105"/>
      <c r="AF36" s="85">
        <v>0</v>
      </c>
      <c r="AG36" s="85">
        <v>0</v>
      </c>
      <c r="AH36" s="85">
        <v>0</v>
      </c>
      <c r="AI36" s="85">
        <v>0</v>
      </c>
      <c r="AJ36" s="105">
        <v>0</v>
      </c>
      <c r="AK36" s="85">
        <v>0</v>
      </c>
      <c r="AL36" s="105">
        <v>0</v>
      </c>
      <c r="AM36" s="85">
        <v>0</v>
      </c>
      <c r="AN36" s="105"/>
      <c r="AO36" s="85">
        <v>0</v>
      </c>
      <c r="AP36" s="105"/>
      <c r="AQ36" s="85">
        <v>0</v>
      </c>
      <c r="AR36" s="85">
        <v>0</v>
      </c>
      <c r="AS36" s="105">
        <v>0</v>
      </c>
      <c r="AT36" s="85">
        <v>0</v>
      </c>
      <c r="AU36" s="105">
        <v>0</v>
      </c>
      <c r="AV36" s="85"/>
      <c r="AW36" s="105"/>
      <c r="AX36" s="85">
        <v>0</v>
      </c>
      <c r="AY36" s="85">
        <v>0</v>
      </c>
      <c r="AZ36" s="105"/>
      <c r="BA36" s="85">
        <v>0</v>
      </c>
      <c r="BB36" s="85">
        <v>0</v>
      </c>
      <c r="BC36" s="105">
        <v>0</v>
      </c>
      <c r="BD36" s="85">
        <v>0</v>
      </c>
      <c r="BE36" s="105"/>
      <c r="BF36" s="85">
        <v>0</v>
      </c>
      <c r="BG36" s="105"/>
      <c r="BH36" s="85">
        <v>0</v>
      </c>
      <c r="BI36" s="105"/>
      <c r="BJ36" s="85">
        <v>0</v>
      </c>
      <c r="BK36" s="85">
        <v>0</v>
      </c>
      <c r="BL36" s="105">
        <v>0</v>
      </c>
      <c r="BM36" s="105">
        <v>0</v>
      </c>
      <c r="BN36" s="85">
        <v>0</v>
      </c>
      <c r="BO36" s="85">
        <v>0</v>
      </c>
      <c r="BP36" s="85">
        <v>0</v>
      </c>
      <c r="BQ36" s="85">
        <v>0</v>
      </c>
      <c r="BR36" s="85">
        <v>0</v>
      </c>
      <c r="BS36" s="105">
        <v>0</v>
      </c>
      <c r="BT36" s="105">
        <v>0</v>
      </c>
      <c r="BU36" s="105">
        <v>0</v>
      </c>
      <c r="BV36" s="85">
        <v>0</v>
      </c>
      <c r="BW36" s="85">
        <v>0</v>
      </c>
      <c r="BX36" s="85">
        <v>0</v>
      </c>
      <c r="BY36" s="105">
        <v>0</v>
      </c>
      <c r="BZ36" s="85">
        <v>0</v>
      </c>
      <c r="CA36" s="105">
        <v>0</v>
      </c>
      <c r="CB36" s="105">
        <v>0</v>
      </c>
      <c r="CC36" s="85">
        <v>0</v>
      </c>
      <c r="CD36" s="85">
        <v>0</v>
      </c>
      <c r="CE36" s="105"/>
      <c r="CF36" s="85">
        <v>0</v>
      </c>
      <c r="CG36" s="85">
        <v>0</v>
      </c>
      <c r="CH36" s="85">
        <v>0</v>
      </c>
      <c r="CI36" s="85">
        <v>0</v>
      </c>
      <c r="CJ36" s="85">
        <v>0</v>
      </c>
      <c r="CK36" s="85">
        <v>0</v>
      </c>
      <c r="CL36" s="85">
        <v>0</v>
      </c>
      <c r="CM36" s="85">
        <v>0</v>
      </c>
      <c r="CN36" s="85">
        <v>0</v>
      </c>
      <c r="CO36" s="85">
        <v>0</v>
      </c>
      <c r="CP36" s="85">
        <v>0</v>
      </c>
      <c r="CQ36" s="105"/>
      <c r="CR36" s="85">
        <v>0</v>
      </c>
      <c r="CS36" s="85">
        <v>0</v>
      </c>
      <c r="CT36" s="85"/>
      <c r="CV36" s="30">
        <f t="shared" si="0"/>
        <v>0</v>
      </c>
      <c r="CW36" s="30"/>
      <c r="CX36" s="30">
        <f t="shared" si="1"/>
        <v>0</v>
      </c>
      <c r="CY36" s="30">
        <f t="shared" si="2"/>
        <v>0</v>
      </c>
      <c r="CZ36" s="85"/>
    </row>
    <row r="37" spans="1:104" ht="12.75">
      <c r="A37" s="108" t="s">
        <v>246</v>
      </c>
      <c r="B37" s="30">
        <f aca="true" t="shared" si="14" ref="B37:N37">SUM(B34:B36)</f>
        <v>477852.634</v>
      </c>
      <c r="C37" s="103"/>
      <c r="D37" s="30">
        <f t="shared" si="14"/>
        <v>332487</v>
      </c>
      <c r="E37" s="103">
        <f>SUM(E34:E36)+1</f>
        <v>238249</v>
      </c>
      <c r="F37" s="103">
        <f t="shared" si="14"/>
        <v>34840</v>
      </c>
      <c r="G37" s="103">
        <f t="shared" si="14"/>
        <v>45059</v>
      </c>
      <c r="H37" s="103">
        <f t="shared" si="14"/>
        <v>13187</v>
      </c>
      <c r="I37" s="103">
        <f>SUM(I34:I36)</f>
        <v>1152</v>
      </c>
      <c r="J37" s="30">
        <f t="shared" si="14"/>
        <v>281932.127</v>
      </c>
      <c r="K37" s="103">
        <f>SUM(K34:K36)</f>
        <v>1745.552</v>
      </c>
      <c r="L37" s="30">
        <f t="shared" si="14"/>
        <v>174837</v>
      </c>
      <c r="M37" s="103">
        <f t="shared" si="14"/>
        <v>174973.402</v>
      </c>
      <c r="N37" s="103">
        <f t="shared" si="14"/>
        <v>0</v>
      </c>
      <c r="O37" s="103">
        <f>SUM(O34:O36)</f>
        <v>-136.555</v>
      </c>
      <c r="P37" s="30">
        <f aca="true" t="shared" si="15" ref="P37:BO37">SUM(P34:P36)</f>
        <v>104963.94</v>
      </c>
      <c r="Q37" s="103">
        <f>SUM(Q34:Q36)</f>
        <v>228.391</v>
      </c>
      <c r="R37" s="30">
        <f t="shared" si="15"/>
        <v>72417.88799999999</v>
      </c>
      <c r="S37" s="103">
        <f t="shared" si="15"/>
        <v>0</v>
      </c>
      <c r="T37" s="30">
        <f t="shared" si="15"/>
        <v>63099.183</v>
      </c>
      <c r="U37" s="103">
        <f t="shared" si="15"/>
        <v>2319.829</v>
      </c>
      <c r="V37" s="30">
        <f t="shared" si="15"/>
        <v>601511.203</v>
      </c>
      <c r="W37" s="103">
        <f t="shared" si="15"/>
        <v>445169.777</v>
      </c>
      <c r="X37" s="103">
        <f t="shared" si="15"/>
        <v>156341.426</v>
      </c>
      <c r="Y37" s="30">
        <f t="shared" si="15"/>
        <v>145892.017</v>
      </c>
      <c r="Z37" s="103"/>
      <c r="AA37" s="30">
        <f t="shared" si="15"/>
        <v>137234.608</v>
      </c>
      <c r="AB37" s="103"/>
      <c r="AC37" s="30">
        <f t="shared" si="15"/>
        <v>-141277.601</v>
      </c>
      <c r="AD37" s="30">
        <f t="shared" si="15"/>
        <v>52490.61</v>
      </c>
      <c r="AE37" s="103">
        <v>0</v>
      </c>
      <c r="AF37" s="30">
        <f t="shared" si="15"/>
        <v>14282</v>
      </c>
      <c r="AG37" s="30">
        <f t="shared" si="15"/>
        <v>118221.003</v>
      </c>
      <c r="AH37" s="30">
        <f t="shared" si="15"/>
        <v>311753.382</v>
      </c>
      <c r="AI37" s="30">
        <f t="shared" si="15"/>
        <v>28036.214</v>
      </c>
      <c r="AJ37" s="103">
        <f t="shared" si="15"/>
        <v>0</v>
      </c>
      <c r="AK37" s="30">
        <f t="shared" si="15"/>
        <v>78069.219</v>
      </c>
      <c r="AL37" s="103">
        <f t="shared" si="15"/>
        <v>0</v>
      </c>
      <c r="AM37" s="30">
        <f t="shared" si="15"/>
        <v>123947.768</v>
      </c>
      <c r="AN37" s="103">
        <v>117119</v>
      </c>
      <c r="AO37" s="30">
        <f t="shared" si="15"/>
        <v>56217.027</v>
      </c>
      <c r="AP37" s="103">
        <v>51315</v>
      </c>
      <c r="AQ37" s="30">
        <f t="shared" si="15"/>
        <v>-3636.128</v>
      </c>
      <c r="AR37" s="30">
        <f t="shared" si="15"/>
        <v>284558.88</v>
      </c>
      <c r="AS37" s="103">
        <f t="shared" si="15"/>
        <v>95.849</v>
      </c>
      <c r="AT37" s="30">
        <f t="shared" si="15"/>
        <v>600710.9600000001</v>
      </c>
      <c r="AU37" s="103">
        <f>SUM(AU34:AU36)</f>
        <v>0.154</v>
      </c>
      <c r="AV37" s="30">
        <f t="shared" si="15"/>
        <v>25469</v>
      </c>
      <c r="AW37" s="103"/>
      <c r="AX37" s="30">
        <f t="shared" si="15"/>
        <v>139071.257</v>
      </c>
      <c r="AY37" s="30">
        <f t="shared" si="15"/>
        <v>11801.894</v>
      </c>
      <c r="AZ37" s="103">
        <v>9899.865</v>
      </c>
      <c r="BA37" s="30">
        <f t="shared" si="15"/>
        <v>137584.152</v>
      </c>
      <c r="BB37" s="30">
        <f t="shared" si="15"/>
        <v>12999.649</v>
      </c>
      <c r="BC37" s="103">
        <f t="shared" si="15"/>
        <v>11181.353</v>
      </c>
      <c r="BD37" s="30">
        <f t="shared" si="15"/>
        <v>524976.608</v>
      </c>
      <c r="BE37" s="103"/>
      <c r="BF37" s="30">
        <f t="shared" si="15"/>
        <v>15366.819</v>
      </c>
      <c r="BG37" s="103"/>
      <c r="BH37" s="30">
        <f t="shared" si="15"/>
        <v>78868.162</v>
      </c>
      <c r="BI37" s="103"/>
      <c r="BJ37" s="30">
        <f t="shared" si="15"/>
        <v>104483.808</v>
      </c>
      <c r="BK37" s="30">
        <f t="shared" si="15"/>
        <v>5481.263</v>
      </c>
      <c r="BL37" s="103">
        <f>SUM(BL34:BL36)</f>
        <v>4748.203</v>
      </c>
      <c r="BM37" s="103">
        <f>SUM(BM34:BM36)</f>
        <v>733.06</v>
      </c>
      <c r="BN37" s="30">
        <f t="shared" si="15"/>
        <v>928.865</v>
      </c>
      <c r="BO37" s="30">
        <f t="shared" si="15"/>
        <v>1359.481</v>
      </c>
      <c r="BP37" s="30">
        <f aca="true" t="shared" si="16" ref="BP37:CJ37">SUM(BP34:BP36)</f>
        <v>25011.263</v>
      </c>
      <c r="BQ37" s="30">
        <f t="shared" si="16"/>
        <v>368920.359</v>
      </c>
      <c r="BR37" s="30">
        <f t="shared" si="16"/>
        <v>65219.672000000006</v>
      </c>
      <c r="BS37" s="103">
        <f t="shared" si="16"/>
        <v>55060.128</v>
      </c>
      <c r="BT37" s="103">
        <f t="shared" si="16"/>
        <v>7768.7300000000005</v>
      </c>
      <c r="BU37" s="103">
        <f>SUM(BU34:BU36)</f>
        <v>2390.814</v>
      </c>
      <c r="BV37" s="30">
        <f t="shared" si="16"/>
        <v>-2625.133</v>
      </c>
      <c r="BW37" s="30">
        <f t="shared" si="16"/>
        <v>9557.947</v>
      </c>
      <c r="BX37" s="30">
        <f t="shared" si="16"/>
        <v>113231.553</v>
      </c>
      <c r="BY37" s="103">
        <f>SUM(BY34:BY36)</f>
        <v>77862.104</v>
      </c>
      <c r="BZ37" s="30">
        <f t="shared" si="16"/>
        <v>35796.952999999994</v>
      </c>
      <c r="CA37" s="103">
        <f t="shared" si="16"/>
        <v>6426.22</v>
      </c>
      <c r="CB37" s="103">
        <f t="shared" si="16"/>
        <v>29370.733</v>
      </c>
      <c r="CC37" s="30">
        <f t="shared" si="16"/>
        <v>1700.333</v>
      </c>
      <c r="CD37" s="30">
        <f t="shared" si="16"/>
        <v>2133.172</v>
      </c>
      <c r="CE37" s="103"/>
      <c r="CF37" s="30">
        <f t="shared" si="16"/>
        <v>2868.752</v>
      </c>
      <c r="CG37" s="30">
        <f t="shared" si="16"/>
        <v>3970.41</v>
      </c>
      <c r="CH37" s="30">
        <f t="shared" si="16"/>
        <v>63.107</v>
      </c>
      <c r="CI37" s="30">
        <f t="shared" si="16"/>
        <v>545.885</v>
      </c>
      <c r="CJ37" s="30">
        <f t="shared" si="16"/>
        <v>33616.792</v>
      </c>
      <c r="CK37" s="30">
        <f aca="true" t="shared" si="17" ref="CK37:CS37">SUM(CK34:CK36)</f>
        <v>404.848</v>
      </c>
      <c r="CL37" s="30">
        <f t="shared" si="17"/>
        <v>15937.577</v>
      </c>
      <c r="CM37" s="30">
        <f t="shared" si="17"/>
        <v>18994.47</v>
      </c>
      <c r="CN37" s="30">
        <f t="shared" si="17"/>
        <v>2891.094</v>
      </c>
      <c r="CO37" s="30">
        <f>SUM(CO34:CO36)</f>
        <v>25975.623</v>
      </c>
      <c r="CP37" s="30">
        <f>SUM(CP34:CP36)</f>
        <v>8802.931</v>
      </c>
      <c r="CQ37" s="103"/>
      <c r="CR37" s="30">
        <f t="shared" si="17"/>
        <v>4843.988</v>
      </c>
      <c r="CS37" s="30">
        <f t="shared" si="17"/>
        <v>1043.27</v>
      </c>
      <c r="CT37" s="30"/>
      <c r="CV37" s="30">
        <f t="shared" si="0"/>
        <v>5712896.7579999985</v>
      </c>
      <c r="CW37" s="30"/>
      <c r="CX37" s="30">
        <f t="shared" si="1"/>
        <v>637999.246</v>
      </c>
      <c r="CY37" s="30">
        <f t="shared" si="2"/>
        <v>5074897.511999999</v>
      </c>
      <c r="CZ37" s="30"/>
    </row>
    <row r="38" spans="1:103" ht="6" customHeight="1">
      <c r="A38" s="98"/>
      <c r="CV38" s="30"/>
      <c r="CW38" s="30"/>
      <c r="CX38" s="30"/>
      <c r="CY38" s="30"/>
    </row>
    <row r="39" spans="1:104" ht="12.75">
      <c r="A39" s="46" t="s">
        <v>497</v>
      </c>
      <c r="B39" s="85">
        <v>0</v>
      </c>
      <c r="C39" s="105"/>
      <c r="D39" s="85">
        <v>0</v>
      </c>
      <c r="E39" s="105"/>
      <c r="F39" s="105"/>
      <c r="G39" s="105"/>
      <c r="H39" s="105"/>
      <c r="I39" s="103">
        <v>0</v>
      </c>
      <c r="J39" s="85">
        <v>0</v>
      </c>
      <c r="K39" s="103">
        <v>0</v>
      </c>
      <c r="L39" s="85">
        <v>0</v>
      </c>
      <c r="M39" s="105">
        <v>0</v>
      </c>
      <c r="N39" s="105">
        <v>0</v>
      </c>
      <c r="O39" s="105">
        <v>0</v>
      </c>
      <c r="P39" s="85">
        <v>0</v>
      </c>
      <c r="Q39" s="103">
        <v>0</v>
      </c>
      <c r="R39" s="85">
        <v>0</v>
      </c>
      <c r="S39" s="103">
        <v>0</v>
      </c>
      <c r="T39" s="85">
        <v>0</v>
      </c>
      <c r="U39" s="103">
        <v>0</v>
      </c>
      <c r="V39" s="85">
        <v>0</v>
      </c>
      <c r="W39" s="105">
        <v>0</v>
      </c>
      <c r="X39" s="105">
        <v>0</v>
      </c>
      <c r="Y39" s="85">
        <v>0</v>
      </c>
      <c r="Z39" s="103"/>
      <c r="AA39" s="85">
        <v>0</v>
      </c>
      <c r="AB39" s="105"/>
      <c r="AC39" s="85">
        <v>0</v>
      </c>
      <c r="AD39" s="85">
        <v>0</v>
      </c>
      <c r="AE39" s="105"/>
      <c r="AF39" s="85">
        <v>0</v>
      </c>
      <c r="AG39" s="85">
        <v>0</v>
      </c>
      <c r="AH39" s="85">
        <v>0</v>
      </c>
      <c r="AI39" s="85">
        <v>4503.339</v>
      </c>
      <c r="AJ39" s="105">
        <v>0</v>
      </c>
      <c r="AK39" s="85">
        <v>0</v>
      </c>
      <c r="AL39" s="105">
        <v>0</v>
      </c>
      <c r="AM39" s="85">
        <v>0</v>
      </c>
      <c r="AN39" s="105"/>
      <c r="AO39" s="85">
        <v>0</v>
      </c>
      <c r="AP39" s="105"/>
      <c r="AQ39" s="85">
        <v>0</v>
      </c>
      <c r="AR39" s="85">
        <v>0</v>
      </c>
      <c r="AS39" s="105">
        <v>0</v>
      </c>
      <c r="AT39" s="85">
        <v>0</v>
      </c>
      <c r="AU39" s="105">
        <v>0</v>
      </c>
      <c r="AV39" s="85">
        <v>0</v>
      </c>
      <c r="AW39" s="105"/>
      <c r="AX39" s="85">
        <v>0</v>
      </c>
      <c r="AY39" s="85">
        <v>0</v>
      </c>
      <c r="AZ39" s="105"/>
      <c r="BA39" s="85">
        <v>0</v>
      </c>
      <c r="BB39" s="85">
        <v>0</v>
      </c>
      <c r="BC39" s="105">
        <v>0</v>
      </c>
      <c r="BD39" s="85">
        <v>0</v>
      </c>
      <c r="BE39" s="105"/>
      <c r="BF39" s="85">
        <v>0</v>
      </c>
      <c r="BG39" s="105"/>
      <c r="BH39" s="85">
        <v>0</v>
      </c>
      <c r="BI39" s="103"/>
      <c r="BJ39" s="85">
        <v>0</v>
      </c>
      <c r="BK39" s="85">
        <v>0</v>
      </c>
      <c r="BL39" s="105"/>
      <c r="BM39" s="105"/>
      <c r="BN39" s="85">
        <v>0</v>
      </c>
      <c r="BO39" s="85">
        <v>0</v>
      </c>
      <c r="BP39" s="85">
        <v>0</v>
      </c>
      <c r="BQ39" s="85">
        <v>0</v>
      </c>
      <c r="BR39" s="85">
        <v>0</v>
      </c>
      <c r="BS39" s="105">
        <v>0</v>
      </c>
      <c r="BT39" s="105">
        <v>0</v>
      </c>
      <c r="BU39" s="105">
        <v>0</v>
      </c>
      <c r="BV39" s="85">
        <v>0</v>
      </c>
      <c r="BW39" s="85">
        <v>0</v>
      </c>
      <c r="BX39" s="85">
        <v>0</v>
      </c>
      <c r="BY39" s="105">
        <v>0</v>
      </c>
      <c r="BZ39" s="85">
        <v>0</v>
      </c>
      <c r="CA39" s="105">
        <v>0</v>
      </c>
      <c r="CB39" s="105">
        <v>0</v>
      </c>
      <c r="CC39" s="85">
        <v>0</v>
      </c>
      <c r="CD39" s="85">
        <v>0</v>
      </c>
      <c r="CE39" s="105"/>
      <c r="CF39" s="85">
        <v>0</v>
      </c>
      <c r="CG39" s="85">
        <v>0</v>
      </c>
      <c r="CH39" s="85">
        <v>0</v>
      </c>
      <c r="CI39" s="85">
        <v>0</v>
      </c>
      <c r="CJ39" s="85">
        <v>0</v>
      </c>
      <c r="CK39" s="85">
        <v>0</v>
      </c>
      <c r="CL39" s="85">
        <v>0</v>
      </c>
      <c r="CM39" s="85">
        <v>0</v>
      </c>
      <c r="CN39" s="85">
        <v>0</v>
      </c>
      <c r="CO39" s="85">
        <v>0</v>
      </c>
      <c r="CP39" s="85">
        <v>0</v>
      </c>
      <c r="CQ39" s="105"/>
      <c r="CR39" s="85">
        <v>0</v>
      </c>
      <c r="CS39" s="85">
        <v>0</v>
      </c>
      <c r="CT39" s="85"/>
      <c r="CV39" s="30">
        <f t="shared" si="0"/>
        <v>4503.339</v>
      </c>
      <c r="CW39" s="30"/>
      <c r="CX39" s="30">
        <f t="shared" si="1"/>
        <v>0</v>
      </c>
      <c r="CY39" s="30">
        <f t="shared" si="2"/>
        <v>4503.339</v>
      </c>
      <c r="CZ39" s="30"/>
    </row>
    <row r="40" spans="1:103" ht="5.25" customHeight="1">
      <c r="A40" s="46"/>
      <c r="CV40" s="30"/>
      <c r="CW40" s="30"/>
      <c r="CX40" s="30"/>
      <c r="CY40" s="30"/>
    </row>
    <row r="41" spans="1:104" ht="15.75" customHeight="1">
      <c r="A41" s="110" t="s">
        <v>269</v>
      </c>
      <c r="B41" s="30">
        <f aca="true" t="shared" si="18" ref="B41:H41">B7+B25+B31+B37+B39</f>
        <v>86298797.839</v>
      </c>
      <c r="C41" s="103"/>
      <c r="D41" s="30">
        <f>D7+D25+D31+D37+D39-1</f>
        <v>76785250</v>
      </c>
      <c r="E41" s="103">
        <f t="shared" si="18"/>
        <v>63639394</v>
      </c>
      <c r="F41" s="103">
        <f>F7+F25+F31+F37+F39-1</f>
        <v>12608484</v>
      </c>
      <c r="G41" s="103">
        <f t="shared" si="18"/>
        <v>75885</v>
      </c>
      <c r="H41" s="103">
        <f t="shared" si="18"/>
        <v>13187</v>
      </c>
      <c r="I41" s="103">
        <f>I25+I31+I37+I39</f>
        <v>448300</v>
      </c>
      <c r="J41" s="30">
        <f aca="true" t="shared" si="19" ref="J41:CD41">J7+J25+J31+J37+J39</f>
        <v>48711789.774000004</v>
      </c>
      <c r="K41" s="103">
        <f>K25+K31+K37+K39</f>
        <v>40886.83500000001</v>
      </c>
      <c r="L41" s="30">
        <f t="shared" si="19"/>
        <v>42110991</v>
      </c>
      <c r="M41" s="103">
        <f t="shared" si="19"/>
        <v>42086932.285000004</v>
      </c>
      <c r="N41" s="103">
        <f t="shared" si="19"/>
        <v>106833.71100000001</v>
      </c>
      <c r="O41" s="103">
        <f>O25+O31+O37+O39</f>
        <v>50478.741</v>
      </c>
      <c r="P41" s="30">
        <f t="shared" si="19"/>
        <v>41515181.033</v>
      </c>
      <c r="Q41" s="103">
        <f>Q25+Q31+Q37+Q39</f>
        <v>3720.067</v>
      </c>
      <c r="R41" s="30">
        <f t="shared" si="19"/>
        <v>19525603.26</v>
      </c>
      <c r="S41" s="103">
        <f>S25+S31+S37+S39</f>
        <v>80816.696</v>
      </c>
      <c r="T41" s="30">
        <f t="shared" si="19"/>
        <v>19243795.023</v>
      </c>
      <c r="U41" s="103">
        <f>U25+U31+U37+U39</f>
        <v>19909.640000000003</v>
      </c>
      <c r="V41" s="30">
        <f t="shared" si="19"/>
        <v>17598639.455000002</v>
      </c>
      <c r="W41" s="103">
        <f t="shared" si="19"/>
        <v>15100596.418000001</v>
      </c>
      <c r="X41" s="103">
        <f t="shared" si="19"/>
        <v>2498043.036999999</v>
      </c>
      <c r="Y41" s="30">
        <f t="shared" si="19"/>
        <v>16290384.632</v>
      </c>
      <c r="Z41" s="103"/>
      <c r="AA41" s="30">
        <f t="shared" si="19"/>
        <v>15623822.550999999</v>
      </c>
      <c r="AB41" s="103"/>
      <c r="AC41" s="30">
        <f t="shared" si="19"/>
        <v>13856038.65</v>
      </c>
      <c r="AD41" s="30">
        <f t="shared" si="19"/>
        <v>12283009.131</v>
      </c>
      <c r="AE41" s="103">
        <f t="shared" si="19"/>
        <v>4807</v>
      </c>
      <c r="AF41" s="30">
        <f t="shared" si="19"/>
        <v>11743787</v>
      </c>
      <c r="AG41" s="30">
        <f t="shared" si="19"/>
        <v>11653098.576</v>
      </c>
      <c r="AH41" s="30">
        <f t="shared" si="19"/>
        <v>11032896.967999997</v>
      </c>
      <c r="AI41" s="30">
        <f t="shared" si="19"/>
        <v>10653925.209999999</v>
      </c>
      <c r="AJ41" s="103">
        <f t="shared" si="19"/>
        <v>84863.449</v>
      </c>
      <c r="AK41" s="30">
        <f t="shared" si="19"/>
        <v>10051419.901</v>
      </c>
      <c r="AL41" s="103">
        <f>AL25+AL31+AL37+AL39</f>
        <v>3923.869</v>
      </c>
      <c r="AM41" s="30">
        <f t="shared" si="19"/>
        <v>8867305.872999998</v>
      </c>
      <c r="AN41" s="103">
        <f>AN25+AN31+AN37+AN39</f>
        <v>8378753</v>
      </c>
      <c r="AO41" s="30">
        <f t="shared" si="19"/>
        <v>8504168.356</v>
      </c>
      <c r="AP41" s="103">
        <f>AP25+AP31+AP37+AP39</f>
        <v>7762582</v>
      </c>
      <c r="AQ41" s="30">
        <f t="shared" si="19"/>
        <v>7562626.842</v>
      </c>
      <c r="AR41" s="30">
        <f t="shared" si="19"/>
        <v>7218164.130000001</v>
      </c>
      <c r="AS41" s="103">
        <f>AS25+AS31+AS37+AS39</f>
        <v>2431.277</v>
      </c>
      <c r="AT41" s="30">
        <f t="shared" si="19"/>
        <v>6782032.766000001</v>
      </c>
      <c r="AU41" s="103">
        <f>AU25+AU31+AU37+AU39</f>
        <v>2946.341</v>
      </c>
      <c r="AV41" s="30">
        <f t="shared" si="19"/>
        <v>6470029</v>
      </c>
      <c r="AW41" s="103"/>
      <c r="AX41" s="30">
        <f t="shared" si="19"/>
        <v>6122434.244</v>
      </c>
      <c r="AY41" s="30">
        <f t="shared" si="19"/>
        <v>5557907.597</v>
      </c>
      <c r="AZ41" s="103">
        <f>AZ25+AZ31+AZ37+AZ39</f>
        <v>4662178.536</v>
      </c>
      <c r="BA41" s="30">
        <f t="shared" si="19"/>
        <v>5213181.309</v>
      </c>
      <c r="BB41" s="30">
        <f t="shared" si="19"/>
        <v>4052011.5069999998</v>
      </c>
      <c r="BC41" s="103">
        <f>BC25+BC31+BC37+BC39</f>
        <v>3934412.361</v>
      </c>
      <c r="BD41" s="30">
        <f t="shared" si="19"/>
        <v>3298266.012</v>
      </c>
      <c r="BE41" s="103"/>
      <c r="BF41" s="30">
        <f t="shared" si="19"/>
        <v>3403773.287</v>
      </c>
      <c r="BG41" s="103"/>
      <c r="BH41" s="30">
        <f t="shared" si="19"/>
        <v>3101619.926</v>
      </c>
      <c r="BI41" s="103"/>
      <c r="BJ41" s="30">
        <f t="shared" si="19"/>
        <v>3034334.636</v>
      </c>
      <c r="BK41" s="30">
        <f t="shared" si="19"/>
        <v>2522078.1599999997</v>
      </c>
      <c r="BL41" s="103">
        <f t="shared" si="19"/>
        <v>2293574.648</v>
      </c>
      <c r="BM41" s="103">
        <f t="shared" si="19"/>
        <v>231825.22699999998</v>
      </c>
      <c r="BN41" s="30">
        <f t="shared" si="19"/>
        <v>2371052.359</v>
      </c>
      <c r="BO41" s="30">
        <f t="shared" si="19"/>
        <v>2010196.244</v>
      </c>
      <c r="BP41" s="30">
        <f t="shared" si="19"/>
        <v>1977470.5299999998</v>
      </c>
      <c r="BQ41" s="30">
        <f t="shared" si="19"/>
        <v>1875408.8119999997</v>
      </c>
      <c r="BR41" s="30">
        <f t="shared" si="19"/>
        <v>1506327.738</v>
      </c>
      <c r="BS41" s="103">
        <f t="shared" si="19"/>
        <v>1329531.357</v>
      </c>
      <c r="BT41" s="103">
        <f t="shared" si="19"/>
        <v>157229.36500000002</v>
      </c>
      <c r="BU41" s="103">
        <f>BU25+BU31+BU37+BU39</f>
        <v>19567.016</v>
      </c>
      <c r="BV41" s="30">
        <f t="shared" si="19"/>
        <v>1697089.0720000002</v>
      </c>
      <c r="BW41" s="30">
        <f t="shared" si="19"/>
        <v>1378605.7609999997</v>
      </c>
      <c r="BX41" s="30">
        <f t="shared" si="19"/>
        <v>1320671.9780000001</v>
      </c>
      <c r="BY41" s="103">
        <f>BY25+BY31+BY37+BY39</f>
        <v>1240884.515</v>
      </c>
      <c r="BZ41" s="30">
        <f t="shared" si="19"/>
        <v>1255947.334</v>
      </c>
      <c r="CA41" s="103">
        <f t="shared" si="19"/>
        <v>102430.03400000001</v>
      </c>
      <c r="CB41" s="103">
        <f t="shared" si="19"/>
        <v>1153517.3</v>
      </c>
      <c r="CC41" s="30">
        <f t="shared" si="19"/>
        <v>1195355.1920000003</v>
      </c>
      <c r="CD41" s="30">
        <f t="shared" si="19"/>
        <v>1068173.647</v>
      </c>
      <c r="CE41" s="103"/>
      <c r="CF41" s="30">
        <f aca="true" t="shared" si="20" ref="CF41:CS41">CF7+CF25+CF31+CF37+CF39</f>
        <v>1066448.128</v>
      </c>
      <c r="CG41" s="30">
        <f t="shared" si="20"/>
        <v>767206.9130000001</v>
      </c>
      <c r="CH41" s="30">
        <f t="shared" si="20"/>
        <v>638557.3400000001</v>
      </c>
      <c r="CI41" s="30">
        <f t="shared" si="20"/>
        <v>590126.496</v>
      </c>
      <c r="CJ41" s="30">
        <f>CJ7+CJ25+CJ31+CJ37+CJ39</f>
        <v>469089.30600000004</v>
      </c>
      <c r="CK41" s="30">
        <f t="shared" si="20"/>
        <v>463041.645</v>
      </c>
      <c r="CL41" s="30">
        <f t="shared" si="20"/>
        <v>417759.473</v>
      </c>
      <c r="CM41" s="30">
        <f t="shared" si="20"/>
        <v>289658.037</v>
      </c>
      <c r="CN41" s="30">
        <f t="shared" si="20"/>
        <v>166908.41700000002</v>
      </c>
      <c r="CO41" s="30">
        <f>CO7+CO25+CO31+CO37+CO39</f>
        <v>109293.43900000001</v>
      </c>
      <c r="CP41" s="30">
        <f>CP7+CP25+CP31+CP37+CP39</f>
        <v>84365.347</v>
      </c>
      <c r="CQ41" s="103"/>
      <c r="CR41" s="30">
        <f t="shared" si="20"/>
        <v>76119.492</v>
      </c>
      <c r="CS41" s="30">
        <f t="shared" si="20"/>
        <v>9011.09</v>
      </c>
      <c r="CT41" s="30"/>
      <c r="CV41" s="30">
        <f t="shared" si="0"/>
        <v>569492247.4380001</v>
      </c>
      <c r="CW41" s="30"/>
      <c r="CX41" s="30">
        <f t="shared" si="1"/>
        <v>96838868.40200001</v>
      </c>
      <c r="CY41" s="30">
        <f t="shared" si="2"/>
        <v>472653379.03599995</v>
      </c>
      <c r="CZ41" s="30"/>
    </row>
    <row r="42" spans="1:103" ht="5.25" customHeight="1">
      <c r="A42" s="104"/>
      <c r="CV42" s="30"/>
      <c r="CW42" s="30"/>
      <c r="CX42" s="30"/>
      <c r="CY42" s="30"/>
    </row>
    <row r="43" spans="1:103" ht="12.75">
      <c r="A43" s="44" t="s">
        <v>243</v>
      </c>
      <c r="CV43" s="30"/>
      <c r="CW43" s="30"/>
      <c r="CX43" s="30"/>
      <c r="CY43" s="30"/>
    </row>
    <row r="44" spans="1:103" ht="5.25" customHeight="1">
      <c r="A44" s="104"/>
      <c r="CV44" s="30"/>
      <c r="CW44" s="30"/>
      <c r="CX44" s="30"/>
      <c r="CY44" s="30"/>
    </row>
    <row r="45" spans="1:104" ht="12.75">
      <c r="A45" s="27" t="s">
        <v>498</v>
      </c>
      <c r="B45" s="30">
        <v>0</v>
      </c>
      <c r="C45" s="103"/>
      <c r="D45" s="30">
        <v>11673</v>
      </c>
      <c r="E45" s="103">
        <v>9582</v>
      </c>
      <c r="F45" s="103">
        <v>1946</v>
      </c>
      <c r="G45" s="103">
        <v>124</v>
      </c>
      <c r="H45" s="103">
        <v>21</v>
      </c>
      <c r="I45" s="103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/>
      <c r="R45" s="30">
        <v>0</v>
      </c>
      <c r="S45" s="103"/>
      <c r="T45" s="30">
        <v>0</v>
      </c>
      <c r="U45" s="103"/>
      <c r="V45" s="30">
        <v>0</v>
      </c>
      <c r="W45" s="103">
        <v>0</v>
      </c>
      <c r="X45" s="103">
        <v>0</v>
      </c>
      <c r="Y45" s="30">
        <v>0</v>
      </c>
      <c r="Z45" s="30"/>
      <c r="AA45" s="30">
        <v>0</v>
      </c>
      <c r="AB45" s="30"/>
      <c r="AC45" s="30">
        <v>0</v>
      </c>
      <c r="AD45" s="30">
        <v>0</v>
      </c>
      <c r="AE45" s="30"/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/>
      <c r="AM45" s="30">
        <v>0</v>
      </c>
      <c r="AN45" s="30"/>
      <c r="AO45" s="30">
        <v>0</v>
      </c>
      <c r="AP45" s="30"/>
      <c r="AQ45" s="30">
        <v>1079.399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/>
      <c r="AX45" s="30">
        <v>0</v>
      </c>
      <c r="AY45" s="30">
        <v>0</v>
      </c>
      <c r="AZ45" s="30"/>
      <c r="BA45" s="30">
        <v>0</v>
      </c>
      <c r="BB45" s="30">
        <v>0</v>
      </c>
      <c r="BC45" s="30">
        <v>0</v>
      </c>
      <c r="BD45" s="30">
        <v>0</v>
      </c>
      <c r="BE45" s="30"/>
      <c r="BF45" s="30">
        <v>0</v>
      </c>
      <c r="BG45" s="30"/>
      <c r="BH45" s="30">
        <v>0</v>
      </c>
      <c r="BI45" s="30"/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>
        <v>0</v>
      </c>
      <c r="BU45" s="30"/>
      <c r="BV45" s="30">
        <v>61798.824</v>
      </c>
      <c r="BW45" s="30">
        <v>0</v>
      </c>
      <c r="BX45" s="30">
        <v>0</v>
      </c>
      <c r="BY45" s="30"/>
      <c r="BZ45" s="30">
        <v>0</v>
      </c>
      <c r="CA45" s="30">
        <v>0</v>
      </c>
      <c r="CB45" s="30">
        <v>0</v>
      </c>
      <c r="CC45" s="30">
        <v>0</v>
      </c>
      <c r="CD45" s="30">
        <v>0</v>
      </c>
      <c r="CE45" s="30"/>
      <c r="CF45" s="30">
        <v>0</v>
      </c>
      <c r="CG45" s="30">
        <v>0</v>
      </c>
      <c r="CH45" s="30">
        <v>0</v>
      </c>
      <c r="CI45" s="30">
        <v>0</v>
      </c>
      <c r="CJ45" s="30">
        <v>0</v>
      </c>
      <c r="CK45" s="30">
        <v>0</v>
      </c>
      <c r="CL45" s="30">
        <v>0</v>
      </c>
      <c r="CM45" s="30">
        <v>0</v>
      </c>
      <c r="CN45" s="30">
        <v>0</v>
      </c>
      <c r="CO45" s="30">
        <v>0</v>
      </c>
      <c r="CP45" s="30">
        <v>0</v>
      </c>
      <c r="CQ45" s="30"/>
      <c r="CR45" s="30">
        <v>0</v>
      </c>
      <c r="CS45" s="30">
        <v>0</v>
      </c>
      <c r="CT45" s="30"/>
      <c r="CV45" s="30">
        <f t="shared" si="0"/>
        <v>74551.223</v>
      </c>
      <c r="CW45" s="30"/>
      <c r="CX45" s="30">
        <f t="shared" si="1"/>
        <v>12752.399</v>
      </c>
      <c r="CY45" s="30">
        <f t="shared" si="2"/>
        <v>61798.824</v>
      </c>
      <c r="CZ45" s="30"/>
    </row>
    <row r="46" spans="1:103" ht="6" customHeight="1">
      <c r="A46" s="104"/>
      <c r="CV46" s="30"/>
      <c r="CW46" s="30"/>
      <c r="CX46" s="30"/>
      <c r="CY46" s="30"/>
    </row>
    <row r="47" spans="1:103" ht="12.75">
      <c r="A47" s="104" t="s">
        <v>499</v>
      </c>
      <c r="CV47" s="30"/>
      <c r="CW47" s="30"/>
      <c r="CX47" s="30"/>
      <c r="CY47" s="30"/>
    </row>
    <row r="48" spans="1:104" ht="12.75">
      <c r="A48" s="46" t="s">
        <v>338</v>
      </c>
      <c r="B48" s="85">
        <v>0</v>
      </c>
      <c r="C48" s="105"/>
      <c r="D48" s="85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85">
        <v>0</v>
      </c>
      <c r="K48" s="105">
        <v>0</v>
      </c>
      <c r="L48" s="85">
        <v>0</v>
      </c>
      <c r="M48" s="105">
        <v>0</v>
      </c>
      <c r="N48" s="105">
        <v>0</v>
      </c>
      <c r="O48" s="105">
        <v>0</v>
      </c>
      <c r="P48" s="85">
        <v>0</v>
      </c>
      <c r="Q48" s="105">
        <v>0</v>
      </c>
      <c r="R48" s="85">
        <v>0</v>
      </c>
      <c r="S48" s="105">
        <v>0</v>
      </c>
      <c r="T48" s="85">
        <v>0</v>
      </c>
      <c r="U48" s="105">
        <v>303.585</v>
      </c>
      <c r="V48" s="85">
        <v>0</v>
      </c>
      <c r="W48" s="105">
        <v>0</v>
      </c>
      <c r="X48" s="105">
        <v>0</v>
      </c>
      <c r="Y48" s="85">
        <v>0</v>
      </c>
      <c r="Z48" s="105"/>
      <c r="AA48" s="85">
        <v>0</v>
      </c>
      <c r="AB48" s="105"/>
      <c r="AC48" s="85">
        <v>0</v>
      </c>
      <c r="AD48" s="85">
        <v>0</v>
      </c>
      <c r="AE48" s="105"/>
      <c r="AF48" s="85">
        <v>0</v>
      </c>
      <c r="AG48" s="85">
        <v>0</v>
      </c>
      <c r="AH48" s="85">
        <v>0</v>
      </c>
      <c r="AI48" s="85">
        <v>0</v>
      </c>
      <c r="AJ48" s="105">
        <v>0</v>
      </c>
      <c r="AK48" s="85">
        <v>0</v>
      </c>
      <c r="AL48" s="105">
        <v>0</v>
      </c>
      <c r="AM48" s="85">
        <v>0</v>
      </c>
      <c r="AN48" s="105"/>
      <c r="AO48" s="85">
        <v>0</v>
      </c>
      <c r="AP48" s="105"/>
      <c r="AQ48" s="85">
        <v>0</v>
      </c>
      <c r="AR48" s="85">
        <v>0</v>
      </c>
      <c r="AS48" s="105">
        <v>0</v>
      </c>
      <c r="AT48" s="85">
        <v>0</v>
      </c>
      <c r="AU48" s="105">
        <v>0</v>
      </c>
      <c r="AV48" s="85">
        <v>0</v>
      </c>
      <c r="AW48" s="105"/>
      <c r="AX48" s="85">
        <v>0</v>
      </c>
      <c r="AY48" s="85">
        <v>0</v>
      </c>
      <c r="AZ48" s="105"/>
      <c r="BA48" s="85">
        <v>0</v>
      </c>
      <c r="BB48" s="85">
        <v>0</v>
      </c>
      <c r="BC48" s="105">
        <f>10177.579+19.202</f>
        <v>10196.780999999999</v>
      </c>
      <c r="BD48" s="85">
        <v>0</v>
      </c>
      <c r="BE48" s="105"/>
      <c r="BF48" s="85">
        <v>0</v>
      </c>
      <c r="BG48" s="105"/>
      <c r="BH48" s="85">
        <v>0</v>
      </c>
      <c r="BI48" s="105"/>
      <c r="BJ48" s="85">
        <v>0</v>
      </c>
      <c r="BK48" s="85">
        <v>0</v>
      </c>
      <c r="BL48" s="105">
        <v>0</v>
      </c>
      <c r="BM48" s="105">
        <v>0</v>
      </c>
      <c r="BN48" s="85">
        <v>0</v>
      </c>
      <c r="BO48" s="85">
        <v>0</v>
      </c>
      <c r="BP48" s="85">
        <v>0</v>
      </c>
      <c r="BQ48" s="85">
        <v>0</v>
      </c>
      <c r="BR48" s="85">
        <v>0</v>
      </c>
      <c r="BS48" s="105">
        <v>0</v>
      </c>
      <c r="BT48" s="105">
        <v>0</v>
      </c>
      <c r="BU48" s="105">
        <v>0</v>
      </c>
      <c r="BV48" s="85">
        <v>0</v>
      </c>
      <c r="BW48" s="85">
        <v>0</v>
      </c>
      <c r="BX48" s="85">
        <v>0</v>
      </c>
      <c r="BY48" s="105">
        <v>0</v>
      </c>
      <c r="BZ48" s="85">
        <v>0</v>
      </c>
      <c r="CA48" s="105">
        <v>0</v>
      </c>
      <c r="CB48" s="105">
        <v>0</v>
      </c>
      <c r="CC48" s="85">
        <v>0</v>
      </c>
      <c r="CD48" s="85">
        <v>0</v>
      </c>
      <c r="CE48" s="105"/>
      <c r="CF48" s="85">
        <v>0</v>
      </c>
      <c r="CG48" s="85">
        <v>0</v>
      </c>
      <c r="CH48" s="85">
        <v>0</v>
      </c>
      <c r="CI48" s="85">
        <v>0</v>
      </c>
      <c r="CJ48" s="85">
        <v>0</v>
      </c>
      <c r="CK48" s="85">
        <v>0</v>
      </c>
      <c r="CL48" s="85">
        <v>0</v>
      </c>
      <c r="CM48" s="85">
        <v>0</v>
      </c>
      <c r="CN48" s="85">
        <v>0</v>
      </c>
      <c r="CO48" s="85">
        <v>0</v>
      </c>
      <c r="CP48" s="85">
        <v>0</v>
      </c>
      <c r="CQ48" s="105"/>
      <c r="CR48" s="85">
        <v>0</v>
      </c>
      <c r="CS48" s="85">
        <v>0</v>
      </c>
      <c r="CT48" s="85"/>
      <c r="CV48" s="30">
        <f t="shared" si="0"/>
        <v>0</v>
      </c>
      <c r="CW48" s="30"/>
      <c r="CX48" s="30">
        <f t="shared" si="1"/>
        <v>0</v>
      </c>
      <c r="CY48" s="30">
        <f t="shared" si="2"/>
        <v>0</v>
      </c>
      <c r="CZ48" s="85"/>
    </row>
    <row r="49" spans="1:104" ht="12.75">
      <c r="A49" s="46" t="s">
        <v>292</v>
      </c>
      <c r="B49" s="85">
        <v>0</v>
      </c>
      <c r="C49" s="105"/>
      <c r="D49" s="85">
        <v>0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85">
        <v>330101.273</v>
      </c>
      <c r="K49" s="105">
        <v>0</v>
      </c>
      <c r="L49" s="85">
        <v>0</v>
      </c>
      <c r="M49" s="105">
        <v>0</v>
      </c>
      <c r="N49" s="105">
        <v>0</v>
      </c>
      <c r="O49" s="105">
        <v>0</v>
      </c>
      <c r="P49" s="85">
        <f>281419.117+191.183</f>
        <v>281610.30000000005</v>
      </c>
      <c r="Q49" s="105">
        <v>191.183</v>
      </c>
      <c r="R49" s="85">
        <v>229.883</v>
      </c>
      <c r="S49" s="105">
        <v>0</v>
      </c>
      <c r="T49" s="85">
        <v>0</v>
      </c>
      <c r="U49" s="105">
        <v>0</v>
      </c>
      <c r="V49" s="85">
        <v>0</v>
      </c>
      <c r="W49" s="105">
        <v>0</v>
      </c>
      <c r="X49" s="105">
        <v>0</v>
      </c>
      <c r="Y49" s="85">
        <v>0</v>
      </c>
      <c r="Z49" s="105"/>
      <c r="AA49" s="85">
        <v>0</v>
      </c>
      <c r="AB49" s="105"/>
      <c r="AC49" s="85">
        <v>0</v>
      </c>
      <c r="AD49" s="85">
        <v>22514.377</v>
      </c>
      <c r="AE49" s="105"/>
      <c r="AF49" s="85">
        <v>0</v>
      </c>
      <c r="AG49" s="85">
        <v>0</v>
      </c>
      <c r="AH49" s="85">
        <v>0</v>
      </c>
      <c r="AI49" s="85">
        <v>0</v>
      </c>
      <c r="AJ49" s="105">
        <v>0</v>
      </c>
      <c r="AK49" s="85">
        <v>0</v>
      </c>
      <c r="AL49" s="105">
        <v>0</v>
      </c>
      <c r="AM49" s="85">
        <v>0</v>
      </c>
      <c r="AN49" s="105"/>
      <c r="AO49" s="85">
        <v>0</v>
      </c>
      <c r="AP49" s="105"/>
      <c r="AQ49" s="85">
        <v>0</v>
      </c>
      <c r="AR49" s="85">
        <v>0</v>
      </c>
      <c r="AS49" s="105">
        <v>0</v>
      </c>
      <c r="AT49" s="85">
        <v>0</v>
      </c>
      <c r="AU49" s="105">
        <v>0</v>
      </c>
      <c r="AV49" s="85">
        <v>11114</v>
      </c>
      <c r="AW49" s="105"/>
      <c r="AX49" s="85">
        <v>0</v>
      </c>
      <c r="AY49" s="85">
        <v>0</v>
      </c>
      <c r="AZ49" s="105"/>
      <c r="BA49" s="85">
        <v>0</v>
      </c>
      <c r="BB49" s="85">
        <v>0</v>
      </c>
      <c r="BC49" s="105">
        <v>0</v>
      </c>
      <c r="BD49" s="85">
        <v>0</v>
      </c>
      <c r="BE49" s="105"/>
      <c r="BF49" s="85">
        <v>188478.12</v>
      </c>
      <c r="BG49" s="105"/>
      <c r="BH49" s="85">
        <v>0</v>
      </c>
      <c r="BI49" s="105"/>
      <c r="BJ49" s="85">
        <v>0</v>
      </c>
      <c r="BK49" s="85">
        <v>0</v>
      </c>
      <c r="BL49" s="105">
        <v>0</v>
      </c>
      <c r="BM49" s="105">
        <v>0</v>
      </c>
      <c r="BN49" s="85">
        <v>0</v>
      </c>
      <c r="BO49" s="85">
        <v>0</v>
      </c>
      <c r="BP49" s="85">
        <v>0</v>
      </c>
      <c r="BQ49" s="85">
        <v>0</v>
      </c>
      <c r="BR49" s="85">
        <v>0</v>
      </c>
      <c r="BS49" s="105">
        <v>0</v>
      </c>
      <c r="BT49" s="105">
        <v>0</v>
      </c>
      <c r="BU49" s="105">
        <v>0</v>
      </c>
      <c r="BV49" s="85">
        <v>0</v>
      </c>
      <c r="BW49" s="85">
        <v>0</v>
      </c>
      <c r="BX49" s="85">
        <v>0</v>
      </c>
      <c r="BY49" s="105">
        <v>0</v>
      </c>
      <c r="BZ49" s="85">
        <v>0</v>
      </c>
      <c r="CA49" s="105">
        <v>0</v>
      </c>
      <c r="CB49" s="105">
        <v>0</v>
      </c>
      <c r="CC49" s="85">
        <v>0</v>
      </c>
      <c r="CD49" s="85">
        <v>0</v>
      </c>
      <c r="CE49" s="105"/>
      <c r="CF49" s="85">
        <v>0</v>
      </c>
      <c r="CG49" s="85">
        <v>0</v>
      </c>
      <c r="CH49" s="85">
        <v>0</v>
      </c>
      <c r="CI49" s="85">
        <v>0</v>
      </c>
      <c r="CJ49" s="85">
        <v>0</v>
      </c>
      <c r="CK49" s="85">
        <v>0</v>
      </c>
      <c r="CL49" s="85">
        <v>0</v>
      </c>
      <c r="CM49" s="85">
        <v>0</v>
      </c>
      <c r="CN49" s="85">
        <v>0</v>
      </c>
      <c r="CO49" s="85">
        <v>0</v>
      </c>
      <c r="CP49" s="85">
        <v>0</v>
      </c>
      <c r="CQ49" s="105"/>
      <c r="CR49" s="85">
        <v>0</v>
      </c>
      <c r="CS49" s="85">
        <v>0</v>
      </c>
      <c r="CT49" s="85"/>
      <c r="CV49" s="30">
        <f t="shared" si="0"/>
        <v>834047.9530000001</v>
      </c>
      <c r="CW49" s="30"/>
      <c r="CX49" s="30">
        <f t="shared" si="1"/>
        <v>0</v>
      </c>
      <c r="CY49" s="30">
        <f t="shared" si="2"/>
        <v>834047.9530000001</v>
      </c>
      <c r="CZ49" s="85"/>
    </row>
    <row r="50" spans="1:104" ht="12.75">
      <c r="A50" s="27" t="s">
        <v>293</v>
      </c>
      <c r="B50" s="85">
        <v>0</v>
      </c>
      <c r="C50" s="105"/>
      <c r="D50" s="85">
        <v>53595</v>
      </c>
      <c r="E50" s="105">
        <v>26797</v>
      </c>
      <c r="F50" s="105">
        <v>26797</v>
      </c>
      <c r="G50" s="105">
        <v>0</v>
      </c>
      <c r="H50" s="105">
        <v>0</v>
      </c>
      <c r="I50" s="105">
        <v>0</v>
      </c>
      <c r="J50" s="85">
        <v>0</v>
      </c>
      <c r="K50" s="105">
        <v>0</v>
      </c>
      <c r="L50" s="85">
        <v>0</v>
      </c>
      <c r="M50" s="105">
        <v>0</v>
      </c>
      <c r="N50" s="105">
        <v>0</v>
      </c>
      <c r="O50" s="105">
        <v>0</v>
      </c>
      <c r="P50" s="85">
        <v>0</v>
      </c>
      <c r="Q50" s="105">
        <v>0</v>
      </c>
      <c r="R50" s="85">
        <v>0</v>
      </c>
      <c r="S50" s="105">
        <v>0</v>
      </c>
      <c r="T50" s="85">
        <v>0</v>
      </c>
      <c r="U50" s="105">
        <v>0</v>
      </c>
      <c r="V50" s="85">
        <v>0</v>
      </c>
      <c r="W50" s="105">
        <v>0</v>
      </c>
      <c r="X50" s="105">
        <v>0</v>
      </c>
      <c r="Y50" s="85">
        <v>0</v>
      </c>
      <c r="Z50" s="105"/>
      <c r="AA50" s="85">
        <v>0</v>
      </c>
      <c r="AB50" s="105"/>
      <c r="AC50" s="85">
        <v>0</v>
      </c>
      <c r="AD50" s="85">
        <v>0</v>
      </c>
      <c r="AE50" s="105"/>
      <c r="AF50" s="85">
        <v>0</v>
      </c>
      <c r="AG50" s="85">
        <v>0</v>
      </c>
      <c r="AH50" s="85">
        <v>0</v>
      </c>
      <c r="AI50" s="85">
        <v>0</v>
      </c>
      <c r="AJ50" s="105">
        <v>0</v>
      </c>
      <c r="AK50" s="85">
        <v>0</v>
      </c>
      <c r="AL50" s="105">
        <v>0</v>
      </c>
      <c r="AM50" s="85">
        <v>0</v>
      </c>
      <c r="AN50" s="105"/>
      <c r="AO50" s="85">
        <v>0</v>
      </c>
      <c r="AP50" s="105"/>
      <c r="AQ50" s="85">
        <v>5954.963</v>
      </c>
      <c r="AR50" s="85">
        <v>0</v>
      </c>
      <c r="AS50" s="105">
        <v>0</v>
      </c>
      <c r="AT50" s="85">
        <v>0</v>
      </c>
      <c r="AU50" s="105">
        <v>0</v>
      </c>
      <c r="AV50" s="85">
        <v>0</v>
      </c>
      <c r="AW50" s="105"/>
      <c r="AX50" s="85">
        <v>0</v>
      </c>
      <c r="AY50" s="85">
        <v>0</v>
      </c>
      <c r="AZ50" s="105"/>
      <c r="BA50" s="85">
        <v>0</v>
      </c>
      <c r="BB50" s="85">
        <v>0</v>
      </c>
      <c r="BC50" s="105">
        <v>0</v>
      </c>
      <c r="BD50" s="85">
        <v>0</v>
      </c>
      <c r="BE50" s="105"/>
      <c r="BF50" s="85">
        <v>0</v>
      </c>
      <c r="BG50" s="105"/>
      <c r="BH50" s="85">
        <v>0</v>
      </c>
      <c r="BI50" s="105"/>
      <c r="BJ50" s="85">
        <v>0</v>
      </c>
      <c r="BK50" s="85">
        <v>0</v>
      </c>
      <c r="BL50" s="105">
        <v>0</v>
      </c>
      <c r="BM50" s="105">
        <v>0</v>
      </c>
      <c r="BN50" s="85">
        <v>0</v>
      </c>
      <c r="BO50" s="85">
        <v>0</v>
      </c>
      <c r="BP50" s="85">
        <v>0</v>
      </c>
      <c r="BQ50" s="85">
        <v>0</v>
      </c>
      <c r="BR50" s="85">
        <v>0</v>
      </c>
      <c r="BS50" s="105">
        <v>0</v>
      </c>
      <c r="BT50" s="105">
        <v>0</v>
      </c>
      <c r="BU50" s="105">
        <v>0</v>
      </c>
      <c r="BV50" s="85">
        <v>0</v>
      </c>
      <c r="BW50" s="85">
        <v>0</v>
      </c>
      <c r="BX50" s="85">
        <v>0</v>
      </c>
      <c r="BY50" s="105">
        <v>0</v>
      </c>
      <c r="BZ50" s="85">
        <v>0</v>
      </c>
      <c r="CA50" s="105">
        <v>0</v>
      </c>
      <c r="CB50" s="105">
        <v>0</v>
      </c>
      <c r="CC50" s="85">
        <v>0</v>
      </c>
      <c r="CD50" s="85">
        <v>0</v>
      </c>
      <c r="CE50" s="105"/>
      <c r="CF50" s="85">
        <v>0</v>
      </c>
      <c r="CG50" s="85">
        <v>0</v>
      </c>
      <c r="CH50" s="85">
        <v>0</v>
      </c>
      <c r="CI50" s="85">
        <v>0</v>
      </c>
      <c r="CJ50" s="85">
        <v>0</v>
      </c>
      <c r="CK50" s="85">
        <v>0</v>
      </c>
      <c r="CL50" s="85">
        <v>0</v>
      </c>
      <c r="CM50" s="85">
        <v>0</v>
      </c>
      <c r="CN50" s="85">
        <v>0</v>
      </c>
      <c r="CO50" s="85">
        <v>0</v>
      </c>
      <c r="CP50" s="85">
        <v>0</v>
      </c>
      <c r="CQ50" s="105"/>
      <c r="CR50" s="85">
        <v>0</v>
      </c>
      <c r="CS50" s="85">
        <v>0</v>
      </c>
      <c r="CT50" s="85"/>
      <c r="CV50" s="30">
        <f t="shared" si="0"/>
        <v>59549.963</v>
      </c>
      <c r="CW50" s="30"/>
      <c r="CX50" s="30">
        <f t="shared" si="1"/>
        <v>59549.963</v>
      </c>
      <c r="CY50" s="30">
        <f t="shared" si="2"/>
        <v>0</v>
      </c>
      <c r="CZ50" s="85"/>
    </row>
    <row r="51" spans="1:104" ht="12.75">
      <c r="A51" s="46" t="s">
        <v>294</v>
      </c>
      <c r="B51" s="85">
        <v>612041.738</v>
      </c>
      <c r="C51" s="105"/>
      <c r="D51" s="85">
        <v>632089</v>
      </c>
      <c r="E51" s="105">
        <v>523761</v>
      </c>
      <c r="F51" s="105">
        <v>102367</v>
      </c>
      <c r="G51" s="105">
        <v>22</v>
      </c>
      <c r="H51" s="105"/>
      <c r="I51" s="105">
        <v>5938</v>
      </c>
      <c r="J51" s="85">
        <v>297228.9</v>
      </c>
      <c r="K51" s="105">
        <v>0</v>
      </c>
      <c r="L51" s="85">
        <v>18831</v>
      </c>
      <c r="M51" s="105">
        <v>152085.899</v>
      </c>
      <c r="N51" s="105">
        <v>0</v>
      </c>
      <c r="O51" s="105">
        <v>0</v>
      </c>
      <c r="P51" s="85">
        <v>11289.919</v>
      </c>
      <c r="Q51" s="105">
        <v>0</v>
      </c>
      <c r="R51" s="85">
        <v>21140.074</v>
      </c>
      <c r="S51" s="105">
        <v>0</v>
      </c>
      <c r="T51" s="85">
        <v>1066.261</v>
      </c>
      <c r="U51" s="105">
        <v>0</v>
      </c>
      <c r="V51" s="85">
        <v>0</v>
      </c>
      <c r="W51" s="105">
        <v>0</v>
      </c>
      <c r="X51" s="105">
        <v>0</v>
      </c>
      <c r="Y51" s="85">
        <v>13152.107</v>
      </c>
      <c r="Z51" s="105"/>
      <c r="AA51" s="85">
        <v>19645.363</v>
      </c>
      <c r="AB51" s="105"/>
      <c r="AC51" s="85">
        <v>1455.538</v>
      </c>
      <c r="AD51" s="85">
        <v>22367.092</v>
      </c>
      <c r="AE51" s="105"/>
      <c r="AF51" s="85">
        <v>1313</v>
      </c>
      <c r="AG51" s="85">
        <v>102746.961</v>
      </c>
      <c r="AH51" s="85">
        <v>19390.981</v>
      </c>
      <c r="AI51" s="85">
        <v>10570.358</v>
      </c>
      <c r="AJ51" s="105">
        <v>0</v>
      </c>
      <c r="AK51" s="85">
        <v>5471.285</v>
      </c>
      <c r="AL51" s="105">
        <v>0</v>
      </c>
      <c r="AM51" s="85">
        <v>4749.297</v>
      </c>
      <c r="AN51" s="105"/>
      <c r="AO51" s="85">
        <v>631.875</v>
      </c>
      <c r="AP51" s="105"/>
      <c r="AQ51" s="85">
        <v>50819.076</v>
      </c>
      <c r="AR51" s="85">
        <f>27059.761+1880.738</f>
        <v>28940.499</v>
      </c>
      <c r="AS51" s="105">
        <v>9.748</v>
      </c>
      <c r="AT51" s="85">
        <f>32.145+8835.131</f>
        <v>8867.276</v>
      </c>
      <c r="AU51" s="105">
        <v>0</v>
      </c>
      <c r="AV51" s="85">
        <v>1504</v>
      </c>
      <c r="AW51" s="105"/>
      <c r="AX51" s="85">
        <v>51654.932</v>
      </c>
      <c r="AY51" s="85">
        <v>215.726</v>
      </c>
      <c r="AZ51" s="105"/>
      <c r="BA51" s="85">
        <v>607.379</v>
      </c>
      <c r="BB51" s="85">
        <v>28398.916</v>
      </c>
      <c r="BC51" s="105">
        <f>28398.916-441.594</f>
        <v>27957.322</v>
      </c>
      <c r="BD51" s="85">
        <v>6529.231</v>
      </c>
      <c r="BE51" s="105"/>
      <c r="BF51" s="85">
        <v>567.664</v>
      </c>
      <c r="BG51" s="105"/>
      <c r="BH51" s="85">
        <v>1089.534</v>
      </c>
      <c r="BI51" s="105"/>
      <c r="BJ51" s="85">
        <v>27643.397</v>
      </c>
      <c r="BK51" s="85">
        <v>585.233</v>
      </c>
      <c r="BL51" s="105">
        <f>3321.715+515.006</f>
        <v>3836.721</v>
      </c>
      <c r="BM51" s="105">
        <v>70.227</v>
      </c>
      <c r="BN51" s="85">
        <v>181.915</v>
      </c>
      <c r="BO51" s="85">
        <v>16762.36</v>
      </c>
      <c r="BP51" s="85">
        <v>0</v>
      </c>
      <c r="BQ51" s="85">
        <v>233.731</v>
      </c>
      <c r="BR51" s="85">
        <v>23064.335</v>
      </c>
      <c r="BS51" s="105">
        <v>20264.786</v>
      </c>
      <c r="BT51" s="105">
        <v>2799.549</v>
      </c>
      <c r="BU51" s="105">
        <v>0</v>
      </c>
      <c r="BV51" s="85">
        <v>196520.808</v>
      </c>
      <c r="BW51" s="85">
        <f>21833.473+7550.71</f>
        <v>29384.183</v>
      </c>
      <c r="BX51" s="85">
        <v>9722.697</v>
      </c>
      <c r="BY51" s="105">
        <v>9374.555</v>
      </c>
      <c r="BZ51" s="85">
        <v>4177.574</v>
      </c>
      <c r="CA51" s="105">
        <v>0</v>
      </c>
      <c r="CB51" s="105">
        <v>4177.574</v>
      </c>
      <c r="CC51" s="85">
        <v>9623.438</v>
      </c>
      <c r="CD51" s="85">
        <v>161.779</v>
      </c>
      <c r="CE51" s="105"/>
      <c r="CF51" s="85">
        <v>9075.313</v>
      </c>
      <c r="CG51" s="85">
        <v>1152.521</v>
      </c>
      <c r="CH51" s="85">
        <v>1401.404</v>
      </c>
      <c r="CI51" s="85">
        <v>8392.939</v>
      </c>
      <c r="CJ51" s="85">
        <v>1497.451</v>
      </c>
      <c r="CK51" s="85">
        <v>7536.127</v>
      </c>
      <c r="CL51" s="85">
        <v>0</v>
      </c>
      <c r="CM51" s="85">
        <v>2458.505</v>
      </c>
      <c r="CN51" s="85">
        <v>1734.579</v>
      </c>
      <c r="CO51" s="85">
        <v>0</v>
      </c>
      <c r="CP51" s="85">
        <v>195</v>
      </c>
      <c r="CQ51" s="105"/>
      <c r="CR51" s="85">
        <v>0</v>
      </c>
      <c r="CS51" s="85">
        <v>100.89</v>
      </c>
      <c r="CT51" s="85"/>
      <c r="CV51" s="30">
        <f t="shared" si="0"/>
        <v>2325981.161</v>
      </c>
      <c r="CW51" s="30"/>
      <c r="CX51" s="30">
        <f t="shared" si="1"/>
        <v>783277.8489999999</v>
      </c>
      <c r="CY51" s="30">
        <f t="shared" si="2"/>
        <v>1542703.3120000002</v>
      </c>
      <c r="CZ51" s="85"/>
    </row>
    <row r="52" spans="1:104" ht="12.75">
      <c r="A52" s="108" t="s">
        <v>247</v>
      </c>
      <c r="B52" s="30">
        <f>SUM(B48:B51)</f>
        <v>612041.738</v>
      </c>
      <c r="C52" s="103"/>
      <c r="D52" s="30">
        <f>SUM(D48:D51)-1</f>
        <v>685683</v>
      </c>
      <c r="E52" s="103">
        <f>SUM(E48:E51)</f>
        <v>550558</v>
      </c>
      <c r="F52" s="103">
        <f>SUM(F48:F51)+1</f>
        <v>129165</v>
      </c>
      <c r="G52" s="103">
        <f>SUM(G48:G51)</f>
        <v>22</v>
      </c>
      <c r="H52" s="103">
        <f>SUM(H48:H51)</f>
        <v>0</v>
      </c>
      <c r="I52" s="103">
        <f>SUM(I48:I51)</f>
        <v>5938</v>
      </c>
      <c r="J52" s="30">
        <f aca="true" t="shared" si="21" ref="J52:S52">SUM(J48:J51)</f>
        <v>627330.173</v>
      </c>
      <c r="K52" s="103">
        <f t="shared" si="21"/>
        <v>0</v>
      </c>
      <c r="L52" s="30">
        <f t="shared" si="21"/>
        <v>18831</v>
      </c>
      <c r="M52" s="103">
        <f t="shared" si="21"/>
        <v>152085.899</v>
      </c>
      <c r="N52" s="103">
        <f t="shared" si="21"/>
        <v>0</v>
      </c>
      <c r="O52" s="103">
        <f t="shared" si="21"/>
        <v>0</v>
      </c>
      <c r="P52" s="30">
        <f t="shared" si="21"/>
        <v>292900.21900000004</v>
      </c>
      <c r="Q52" s="103">
        <f>SUM(Q48:Q51)</f>
        <v>191.183</v>
      </c>
      <c r="R52" s="30">
        <f t="shared" si="21"/>
        <v>21369.957000000002</v>
      </c>
      <c r="S52" s="103">
        <f t="shared" si="21"/>
        <v>0</v>
      </c>
      <c r="T52" s="30">
        <f>SUM(T49:T51)</f>
        <v>1066.261</v>
      </c>
      <c r="U52" s="103">
        <f>SUM(U48:U51)</f>
        <v>303.585</v>
      </c>
      <c r="V52" s="30">
        <f aca="true" t="shared" si="22" ref="V52:CD52">SUM(V48:V51)</f>
        <v>0</v>
      </c>
      <c r="W52" s="103">
        <f>SUM(W48:W51)</f>
        <v>0</v>
      </c>
      <c r="X52" s="103">
        <f>SUM(X48:X51)</f>
        <v>0</v>
      </c>
      <c r="Y52" s="30">
        <f t="shared" si="22"/>
        <v>13152.107</v>
      </c>
      <c r="Z52" s="103"/>
      <c r="AA52" s="30">
        <f t="shared" si="22"/>
        <v>19645.363</v>
      </c>
      <c r="AB52" s="103"/>
      <c r="AC52" s="30">
        <f t="shared" si="22"/>
        <v>1455.538</v>
      </c>
      <c r="AD52" s="30">
        <f t="shared" si="22"/>
        <v>44881.469</v>
      </c>
      <c r="AE52" s="103"/>
      <c r="AF52" s="30">
        <f t="shared" si="22"/>
        <v>1313</v>
      </c>
      <c r="AG52" s="30">
        <f t="shared" si="22"/>
        <v>102746.961</v>
      </c>
      <c r="AH52" s="30">
        <f t="shared" si="22"/>
        <v>19390.981</v>
      </c>
      <c r="AI52" s="30">
        <f t="shared" si="22"/>
        <v>10570.358</v>
      </c>
      <c r="AJ52" s="103">
        <f t="shared" si="22"/>
        <v>0</v>
      </c>
      <c r="AK52" s="30">
        <f t="shared" si="22"/>
        <v>5471.285</v>
      </c>
      <c r="AL52" s="103">
        <f t="shared" si="22"/>
        <v>0</v>
      </c>
      <c r="AM52" s="30">
        <f t="shared" si="22"/>
        <v>4749.297</v>
      </c>
      <c r="AN52" s="103">
        <v>4487</v>
      </c>
      <c r="AO52" s="30">
        <f t="shared" si="22"/>
        <v>631.875</v>
      </c>
      <c r="AP52" s="103">
        <v>577</v>
      </c>
      <c r="AQ52" s="30">
        <f t="shared" si="22"/>
        <v>56774.039000000004</v>
      </c>
      <c r="AR52" s="30">
        <f t="shared" si="22"/>
        <v>28940.499</v>
      </c>
      <c r="AS52" s="103">
        <f>SUM(AS48:AS51)</f>
        <v>9.748</v>
      </c>
      <c r="AT52" s="30">
        <f t="shared" si="22"/>
        <v>8867.276</v>
      </c>
      <c r="AU52" s="103">
        <f>SUM(AU48:AU51)</f>
        <v>0</v>
      </c>
      <c r="AV52" s="30">
        <f t="shared" si="22"/>
        <v>12618</v>
      </c>
      <c r="AW52" s="103"/>
      <c r="AX52" s="30">
        <f t="shared" si="22"/>
        <v>51654.932</v>
      </c>
      <c r="AY52" s="30">
        <f t="shared" si="22"/>
        <v>215.726</v>
      </c>
      <c r="AZ52" s="103">
        <v>180.959</v>
      </c>
      <c r="BA52" s="30">
        <f t="shared" si="22"/>
        <v>607.379</v>
      </c>
      <c r="BB52" s="30">
        <f t="shared" si="22"/>
        <v>28398.916</v>
      </c>
      <c r="BC52" s="103">
        <f t="shared" si="22"/>
        <v>38154.103</v>
      </c>
      <c r="BD52" s="30">
        <f t="shared" si="22"/>
        <v>6529.231</v>
      </c>
      <c r="BE52" s="103"/>
      <c r="BF52" s="30">
        <f t="shared" si="22"/>
        <v>189045.78399999999</v>
      </c>
      <c r="BG52" s="103"/>
      <c r="BH52" s="30">
        <f t="shared" si="22"/>
        <v>1089.534</v>
      </c>
      <c r="BI52" s="103"/>
      <c r="BJ52" s="30">
        <f t="shared" si="22"/>
        <v>27643.397</v>
      </c>
      <c r="BK52" s="30">
        <f t="shared" si="22"/>
        <v>585.233</v>
      </c>
      <c r="BL52" s="103">
        <f>SUM(BL48:BL51)</f>
        <v>3836.721</v>
      </c>
      <c r="BM52" s="103">
        <f>SUM(BM48:BM51)</f>
        <v>70.227</v>
      </c>
      <c r="BN52" s="30">
        <f t="shared" si="22"/>
        <v>181.915</v>
      </c>
      <c r="BO52" s="30">
        <f t="shared" si="22"/>
        <v>16762.36</v>
      </c>
      <c r="BP52" s="30">
        <f t="shared" si="22"/>
        <v>0</v>
      </c>
      <c r="BQ52" s="30">
        <f t="shared" si="22"/>
        <v>233.731</v>
      </c>
      <c r="BR52" s="30">
        <f t="shared" si="22"/>
        <v>23064.335</v>
      </c>
      <c r="BS52" s="103">
        <f>SUM(BS48:BS51)</f>
        <v>20264.786</v>
      </c>
      <c r="BT52" s="103">
        <f>SUM(BT48:BT51)</f>
        <v>2799.549</v>
      </c>
      <c r="BU52" s="103">
        <f>SUM(BU48:BU51)</f>
        <v>0</v>
      </c>
      <c r="BV52" s="30">
        <f t="shared" si="22"/>
        <v>196520.808</v>
      </c>
      <c r="BW52" s="30">
        <f t="shared" si="22"/>
        <v>29384.183</v>
      </c>
      <c r="BX52" s="30">
        <f t="shared" si="22"/>
        <v>9722.697</v>
      </c>
      <c r="BY52" s="103">
        <f t="shared" si="22"/>
        <v>9374.555</v>
      </c>
      <c r="BZ52" s="30">
        <f t="shared" si="22"/>
        <v>4177.574</v>
      </c>
      <c r="CA52" s="103">
        <f>SUM(CA48:CA51)</f>
        <v>0</v>
      </c>
      <c r="CB52" s="103">
        <f>SUM(CB48:CB51)</f>
        <v>4177.574</v>
      </c>
      <c r="CC52" s="30">
        <f t="shared" si="22"/>
        <v>9623.438</v>
      </c>
      <c r="CD52" s="30">
        <f t="shared" si="22"/>
        <v>161.779</v>
      </c>
      <c r="CE52" s="103"/>
      <c r="CF52" s="30">
        <f aca="true" t="shared" si="23" ref="CF52:CS52">SUM(CF48:CF51)</f>
        <v>9075.313</v>
      </c>
      <c r="CG52" s="30">
        <f t="shared" si="23"/>
        <v>1152.521</v>
      </c>
      <c r="CH52" s="30">
        <f t="shared" si="23"/>
        <v>1401.404</v>
      </c>
      <c r="CI52" s="30">
        <f t="shared" si="23"/>
        <v>8392.939</v>
      </c>
      <c r="CJ52" s="30">
        <f>SUM(CJ48:CJ51)</f>
        <v>1497.451</v>
      </c>
      <c r="CK52" s="30">
        <f t="shared" si="23"/>
        <v>7536.127</v>
      </c>
      <c r="CL52" s="30">
        <f t="shared" si="23"/>
        <v>0</v>
      </c>
      <c r="CM52" s="30">
        <f t="shared" si="23"/>
        <v>2458.505</v>
      </c>
      <c r="CN52" s="30">
        <f t="shared" si="23"/>
        <v>1734.579</v>
      </c>
      <c r="CO52" s="30">
        <f>SUM(CO48:CO51)</f>
        <v>0</v>
      </c>
      <c r="CP52" s="30">
        <f>SUM(CP48:CP51)</f>
        <v>195</v>
      </c>
      <c r="CQ52" s="103"/>
      <c r="CR52" s="30">
        <f t="shared" si="23"/>
        <v>0</v>
      </c>
      <c r="CS52" s="30">
        <f t="shared" si="23"/>
        <v>100.89</v>
      </c>
      <c r="CT52" s="30"/>
      <c r="CV52" s="30">
        <f t="shared" si="0"/>
        <v>3219578.0770000005</v>
      </c>
      <c r="CW52" s="30"/>
      <c r="CX52" s="30">
        <f t="shared" si="1"/>
        <v>842826.8119999999</v>
      </c>
      <c r="CY52" s="30">
        <f t="shared" si="2"/>
        <v>2376751.2649999997</v>
      </c>
      <c r="CZ52" s="30"/>
    </row>
    <row r="53" spans="1:103" ht="6" customHeight="1">
      <c r="A53" s="98"/>
      <c r="CV53" s="30"/>
      <c r="CW53" s="30"/>
      <c r="CX53" s="30"/>
      <c r="CY53" s="30"/>
    </row>
    <row r="54" spans="1:104" ht="12.75">
      <c r="A54" s="44" t="s">
        <v>307</v>
      </c>
      <c r="B54" s="30">
        <v>0</v>
      </c>
      <c r="C54" s="103"/>
      <c r="D54" s="30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30">
        <v>0</v>
      </c>
      <c r="K54" s="103">
        <v>0</v>
      </c>
      <c r="L54" s="30">
        <v>8805</v>
      </c>
      <c r="M54" s="103">
        <v>8804.973</v>
      </c>
      <c r="N54" s="103">
        <v>0</v>
      </c>
      <c r="O54" s="103">
        <v>0</v>
      </c>
      <c r="P54" s="30">
        <v>60485.261</v>
      </c>
      <c r="Q54" s="103">
        <v>0</v>
      </c>
      <c r="R54" s="30">
        <v>0</v>
      </c>
      <c r="S54" s="103">
        <v>0</v>
      </c>
      <c r="T54" s="30">
        <v>0</v>
      </c>
      <c r="U54" s="103">
        <v>0</v>
      </c>
      <c r="V54" s="30">
        <v>0</v>
      </c>
      <c r="W54" s="103">
        <v>0</v>
      </c>
      <c r="X54" s="103">
        <v>0</v>
      </c>
      <c r="Y54" s="30">
        <v>0</v>
      </c>
      <c r="Z54" s="103"/>
      <c r="AA54" s="30">
        <v>0</v>
      </c>
      <c r="AB54" s="103"/>
      <c r="AC54" s="30">
        <v>0</v>
      </c>
      <c r="AD54" s="30">
        <v>0</v>
      </c>
      <c r="AE54" s="103"/>
      <c r="AF54" s="30">
        <v>0</v>
      </c>
      <c r="AG54" s="30">
        <v>32283.291</v>
      </c>
      <c r="AH54" s="30">
        <v>0</v>
      </c>
      <c r="AI54" s="30">
        <v>0</v>
      </c>
      <c r="AJ54" s="103">
        <v>0</v>
      </c>
      <c r="AK54" s="30">
        <v>0</v>
      </c>
      <c r="AL54" s="103">
        <v>0</v>
      </c>
      <c r="AM54" s="30">
        <v>0</v>
      </c>
      <c r="AN54" s="103"/>
      <c r="AO54" s="30">
        <v>0</v>
      </c>
      <c r="AP54" s="103"/>
      <c r="AQ54" s="30">
        <v>0</v>
      </c>
      <c r="AR54" s="30">
        <v>0</v>
      </c>
      <c r="AS54" s="103">
        <v>0</v>
      </c>
      <c r="AT54" s="30">
        <v>223.488</v>
      </c>
      <c r="AU54" s="103">
        <v>0</v>
      </c>
      <c r="AV54" s="30">
        <v>0</v>
      </c>
      <c r="AW54" s="103"/>
      <c r="AX54" s="30">
        <v>0</v>
      </c>
      <c r="AY54" s="30">
        <v>0</v>
      </c>
      <c r="AZ54" s="103"/>
      <c r="BA54" s="30">
        <v>0</v>
      </c>
      <c r="BB54" s="30">
        <v>0</v>
      </c>
      <c r="BC54" s="103">
        <v>0</v>
      </c>
      <c r="BD54" s="30">
        <v>0</v>
      </c>
      <c r="BE54" s="103"/>
      <c r="BF54" s="30">
        <v>0</v>
      </c>
      <c r="BG54" s="103"/>
      <c r="BH54" s="30">
        <v>0</v>
      </c>
      <c r="BI54" s="103"/>
      <c r="BJ54" s="30">
        <v>0</v>
      </c>
      <c r="BK54" s="30">
        <v>0</v>
      </c>
      <c r="BL54" s="103">
        <v>0</v>
      </c>
      <c r="BM54" s="103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103">
        <v>0</v>
      </c>
      <c r="BT54" s="103">
        <v>0</v>
      </c>
      <c r="BU54" s="103">
        <v>0</v>
      </c>
      <c r="BV54" s="30">
        <v>0</v>
      </c>
      <c r="BW54" s="30">
        <v>0</v>
      </c>
      <c r="BX54" s="30">
        <v>0</v>
      </c>
      <c r="BY54" s="103">
        <v>0</v>
      </c>
      <c r="BZ54" s="30">
        <v>0</v>
      </c>
      <c r="CA54" s="103">
        <v>0</v>
      </c>
      <c r="CB54" s="103">
        <v>0</v>
      </c>
      <c r="CC54" s="30">
        <v>0</v>
      </c>
      <c r="CD54" s="30">
        <v>0</v>
      </c>
      <c r="CE54" s="103"/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8467.308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103"/>
      <c r="CR54" s="30">
        <v>0</v>
      </c>
      <c r="CS54" s="30">
        <v>0</v>
      </c>
      <c r="CT54" s="30"/>
      <c r="CV54" s="30">
        <f t="shared" si="0"/>
        <v>110264.348</v>
      </c>
      <c r="CW54" s="30"/>
      <c r="CX54" s="30">
        <f t="shared" si="1"/>
        <v>0</v>
      </c>
      <c r="CY54" s="30">
        <f t="shared" si="2"/>
        <v>110264.348</v>
      </c>
      <c r="CZ54" s="30"/>
    </row>
    <row r="55" spans="1:103" ht="6" customHeight="1">
      <c r="A55" s="111"/>
      <c r="CV55" s="30"/>
      <c r="CW55" s="30"/>
      <c r="CX55" s="30"/>
      <c r="CY55" s="30"/>
    </row>
    <row r="56" spans="1:104" ht="15.75" customHeight="1">
      <c r="A56" s="110" t="s">
        <v>500</v>
      </c>
      <c r="B56" s="30">
        <f>B45+B52+B54</f>
        <v>612041.738</v>
      </c>
      <c r="C56" s="103"/>
      <c r="D56" s="30">
        <f>D45+D52+D54+1</f>
        <v>697357</v>
      </c>
      <c r="E56" s="103">
        <f>E45+E52+E54</f>
        <v>560140</v>
      </c>
      <c r="F56" s="103">
        <f>F45+F52+F54</f>
        <v>131111</v>
      </c>
      <c r="G56" s="103">
        <f>G45+G52+G54</f>
        <v>146</v>
      </c>
      <c r="H56" s="103">
        <f>H45+H52+H54</f>
        <v>21</v>
      </c>
      <c r="I56" s="103">
        <f>I45+I52+I54</f>
        <v>5938</v>
      </c>
      <c r="J56" s="30">
        <f aca="true" t="shared" si="24" ref="J56:CD56">J45+J52+J54</f>
        <v>627330.173</v>
      </c>
      <c r="K56" s="103">
        <f t="shared" si="24"/>
        <v>0</v>
      </c>
      <c r="L56" s="30">
        <f t="shared" si="24"/>
        <v>27636</v>
      </c>
      <c r="M56" s="103">
        <f t="shared" si="24"/>
        <v>160890.872</v>
      </c>
      <c r="N56" s="103">
        <f t="shared" si="24"/>
        <v>0</v>
      </c>
      <c r="O56" s="103">
        <f t="shared" si="24"/>
        <v>0</v>
      </c>
      <c r="P56" s="30">
        <f t="shared" si="24"/>
        <v>353385.48000000004</v>
      </c>
      <c r="Q56" s="103">
        <f>Q45+Q52+Q54</f>
        <v>191.183</v>
      </c>
      <c r="R56" s="30">
        <f t="shared" si="24"/>
        <v>21369.957000000002</v>
      </c>
      <c r="S56" s="103">
        <f t="shared" si="24"/>
        <v>0</v>
      </c>
      <c r="T56" s="30">
        <f t="shared" si="24"/>
        <v>1066.261</v>
      </c>
      <c r="U56" s="103">
        <f t="shared" si="24"/>
        <v>303.585</v>
      </c>
      <c r="V56" s="30">
        <f t="shared" si="24"/>
        <v>0</v>
      </c>
      <c r="W56" s="103">
        <f>W45+W52+W54</f>
        <v>0</v>
      </c>
      <c r="X56" s="103">
        <f>X45+X52+X54</f>
        <v>0</v>
      </c>
      <c r="Y56" s="30">
        <f t="shared" si="24"/>
        <v>13152.107</v>
      </c>
      <c r="Z56" s="103"/>
      <c r="AA56" s="30">
        <f t="shared" si="24"/>
        <v>19645.363</v>
      </c>
      <c r="AB56" s="103"/>
      <c r="AC56" s="30">
        <f t="shared" si="24"/>
        <v>1455.538</v>
      </c>
      <c r="AD56" s="30">
        <f t="shared" si="24"/>
        <v>44881.469</v>
      </c>
      <c r="AE56" s="103">
        <v>0</v>
      </c>
      <c r="AF56" s="30">
        <f t="shared" si="24"/>
        <v>1313</v>
      </c>
      <c r="AG56" s="30">
        <f t="shared" si="24"/>
        <v>135030.252</v>
      </c>
      <c r="AH56" s="30">
        <f t="shared" si="24"/>
        <v>19390.981</v>
      </c>
      <c r="AI56" s="30">
        <f t="shared" si="24"/>
        <v>10570.358</v>
      </c>
      <c r="AJ56" s="103">
        <f t="shared" si="24"/>
        <v>0</v>
      </c>
      <c r="AK56" s="30">
        <f t="shared" si="24"/>
        <v>5471.285</v>
      </c>
      <c r="AL56" s="103">
        <f t="shared" si="24"/>
        <v>0</v>
      </c>
      <c r="AM56" s="30">
        <f t="shared" si="24"/>
        <v>4749.297</v>
      </c>
      <c r="AN56" s="103">
        <f t="shared" si="24"/>
        <v>4487</v>
      </c>
      <c r="AO56" s="30">
        <f t="shared" si="24"/>
        <v>631.875</v>
      </c>
      <c r="AP56" s="103">
        <f t="shared" si="24"/>
        <v>577</v>
      </c>
      <c r="AQ56" s="30">
        <f t="shared" si="24"/>
        <v>57853.438</v>
      </c>
      <c r="AR56" s="30">
        <f t="shared" si="24"/>
        <v>28940.499</v>
      </c>
      <c r="AS56" s="103">
        <f t="shared" si="24"/>
        <v>9.748</v>
      </c>
      <c r="AT56" s="30">
        <f t="shared" si="24"/>
        <v>9090.764</v>
      </c>
      <c r="AU56" s="103">
        <f t="shared" si="24"/>
        <v>0</v>
      </c>
      <c r="AV56" s="30">
        <f t="shared" si="24"/>
        <v>12618</v>
      </c>
      <c r="AW56" s="103"/>
      <c r="AX56" s="30">
        <f t="shared" si="24"/>
        <v>51654.932</v>
      </c>
      <c r="AY56" s="30">
        <f t="shared" si="24"/>
        <v>215.726</v>
      </c>
      <c r="AZ56" s="103">
        <f t="shared" si="24"/>
        <v>180.959</v>
      </c>
      <c r="BA56" s="30">
        <f t="shared" si="24"/>
        <v>607.379</v>
      </c>
      <c r="BB56" s="30">
        <f t="shared" si="24"/>
        <v>28398.916</v>
      </c>
      <c r="BC56" s="103">
        <f t="shared" si="24"/>
        <v>38154.103</v>
      </c>
      <c r="BD56" s="30">
        <f t="shared" si="24"/>
        <v>6529.231</v>
      </c>
      <c r="BE56" s="103"/>
      <c r="BF56" s="30">
        <f t="shared" si="24"/>
        <v>189045.78399999999</v>
      </c>
      <c r="BG56" s="103"/>
      <c r="BH56" s="30">
        <f t="shared" si="24"/>
        <v>1089.534</v>
      </c>
      <c r="BI56" s="103"/>
      <c r="BJ56" s="30">
        <f t="shared" si="24"/>
        <v>27643.397</v>
      </c>
      <c r="BK56" s="30">
        <f t="shared" si="24"/>
        <v>585.233</v>
      </c>
      <c r="BL56" s="103">
        <f t="shared" si="24"/>
        <v>3836.721</v>
      </c>
      <c r="BM56" s="103">
        <f t="shared" si="24"/>
        <v>70.227</v>
      </c>
      <c r="BN56" s="30">
        <f t="shared" si="24"/>
        <v>181.915</v>
      </c>
      <c r="BO56" s="30">
        <f t="shared" si="24"/>
        <v>16762.36</v>
      </c>
      <c r="BP56" s="30">
        <f t="shared" si="24"/>
        <v>0</v>
      </c>
      <c r="BQ56" s="30">
        <f t="shared" si="24"/>
        <v>233.731</v>
      </c>
      <c r="BR56" s="30">
        <f t="shared" si="24"/>
        <v>23064.335</v>
      </c>
      <c r="BS56" s="103">
        <f t="shared" si="24"/>
        <v>20264.786</v>
      </c>
      <c r="BT56" s="103">
        <f t="shared" si="24"/>
        <v>2799.549</v>
      </c>
      <c r="BU56" s="103">
        <f t="shared" si="24"/>
        <v>0</v>
      </c>
      <c r="BV56" s="30">
        <f t="shared" si="24"/>
        <v>258319.63199999998</v>
      </c>
      <c r="BW56" s="30">
        <f t="shared" si="24"/>
        <v>29384.183</v>
      </c>
      <c r="BX56" s="30">
        <f t="shared" si="24"/>
        <v>9722.697</v>
      </c>
      <c r="BY56" s="103">
        <f t="shared" si="24"/>
        <v>9374.555</v>
      </c>
      <c r="BZ56" s="30">
        <f t="shared" si="24"/>
        <v>4177.574</v>
      </c>
      <c r="CA56" s="103">
        <f t="shared" si="24"/>
        <v>0</v>
      </c>
      <c r="CB56" s="103">
        <f t="shared" si="24"/>
        <v>4177.574</v>
      </c>
      <c r="CC56" s="30">
        <f t="shared" si="24"/>
        <v>9623.438</v>
      </c>
      <c r="CD56" s="30">
        <f t="shared" si="24"/>
        <v>161.779</v>
      </c>
      <c r="CE56" s="103"/>
      <c r="CF56" s="30">
        <f aca="true" t="shared" si="25" ref="CF56:CS56">CF45+CF52+CF54</f>
        <v>9075.313</v>
      </c>
      <c r="CG56" s="30">
        <f t="shared" si="25"/>
        <v>1152.521</v>
      </c>
      <c r="CH56" s="30">
        <f t="shared" si="25"/>
        <v>1401.404</v>
      </c>
      <c r="CI56" s="30">
        <f t="shared" si="25"/>
        <v>8392.939</v>
      </c>
      <c r="CJ56" s="30">
        <f>CJ45+CJ52+CJ54</f>
        <v>1497.451</v>
      </c>
      <c r="CK56" s="30">
        <f t="shared" si="25"/>
        <v>16003.435000000001</v>
      </c>
      <c r="CL56" s="30">
        <f t="shared" si="25"/>
        <v>0</v>
      </c>
      <c r="CM56" s="30">
        <f t="shared" si="25"/>
        <v>2458.505</v>
      </c>
      <c r="CN56" s="30">
        <f t="shared" si="25"/>
        <v>1734.579</v>
      </c>
      <c r="CO56" s="30">
        <f>CO45+CO52+CO54</f>
        <v>0</v>
      </c>
      <c r="CP56" s="30">
        <f>CP45+CP52+CP54</f>
        <v>195</v>
      </c>
      <c r="CQ56" s="103"/>
      <c r="CR56" s="30">
        <f t="shared" si="25"/>
        <v>0</v>
      </c>
      <c r="CS56" s="30">
        <f t="shared" si="25"/>
        <v>100.89</v>
      </c>
      <c r="CT56" s="30"/>
      <c r="CV56" s="30">
        <f t="shared" si="0"/>
        <v>3404394.648</v>
      </c>
      <c r="CW56" s="30"/>
      <c r="CX56" s="30">
        <f t="shared" si="1"/>
        <v>855580.2109999999</v>
      </c>
      <c r="CY56" s="30">
        <f t="shared" si="2"/>
        <v>2548814.437</v>
      </c>
      <c r="CZ56" s="30"/>
    </row>
    <row r="57" spans="1:103" ht="13.5" customHeight="1">
      <c r="A57" s="98" t="s">
        <v>133</v>
      </c>
      <c r="CV57" s="30"/>
      <c r="CW57" s="30"/>
      <c r="CX57" s="30"/>
      <c r="CY57" s="30"/>
    </row>
    <row r="58" spans="1:104" ht="12.75">
      <c r="A58" s="98" t="s">
        <v>134</v>
      </c>
      <c r="B58" s="30">
        <f>B41-B56</f>
        <v>85686756.101</v>
      </c>
      <c r="C58" s="103">
        <v>350809.831</v>
      </c>
      <c r="D58" s="30">
        <f>D41-D56+1</f>
        <v>76087894</v>
      </c>
      <c r="E58" s="103">
        <f aca="true" t="shared" si="26" ref="E58:K58">E41-E56</f>
        <v>63079254</v>
      </c>
      <c r="F58" s="103">
        <f t="shared" si="26"/>
        <v>12477373</v>
      </c>
      <c r="G58" s="103">
        <f t="shared" si="26"/>
        <v>75739</v>
      </c>
      <c r="H58" s="103">
        <f t="shared" si="26"/>
        <v>13166</v>
      </c>
      <c r="I58" s="103">
        <f t="shared" si="26"/>
        <v>442362</v>
      </c>
      <c r="J58" s="30">
        <f t="shared" si="26"/>
        <v>48084459.601</v>
      </c>
      <c r="K58" s="103">
        <f t="shared" si="26"/>
        <v>40886.83500000001</v>
      </c>
      <c r="L58" s="30">
        <f>L41-L56-1</f>
        <v>42083354</v>
      </c>
      <c r="M58" s="103">
        <f>M41-M56</f>
        <v>41926041.413</v>
      </c>
      <c r="N58" s="103">
        <f>N41-N56</f>
        <v>106833.71100000001</v>
      </c>
      <c r="O58" s="103">
        <f>O41-O56</f>
        <v>50478.741</v>
      </c>
      <c r="P58" s="30">
        <f aca="true" t="shared" si="27" ref="P58:CD58">P41-P56</f>
        <v>41161795.553</v>
      </c>
      <c r="Q58" s="103">
        <f>Q41-Q56</f>
        <v>3528.884</v>
      </c>
      <c r="R58" s="30">
        <f t="shared" si="27"/>
        <v>19504233.303000003</v>
      </c>
      <c r="S58" s="103">
        <f t="shared" si="27"/>
        <v>80816.696</v>
      </c>
      <c r="T58" s="30">
        <f t="shared" si="27"/>
        <v>19242728.762</v>
      </c>
      <c r="U58" s="103">
        <f t="shared" si="27"/>
        <v>19606.055000000004</v>
      </c>
      <c r="V58" s="30">
        <f t="shared" si="27"/>
        <v>17598639.455000002</v>
      </c>
      <c r="W58" s="103">
        <f t="shared" si="27"/>
        <v>15100596.418000001</v>
      </c>
      <c r="X58" s="103">
        <f t="shared" si="27"/>
        <v>2498043.036999999</v>
      </c>
      <c r="Y58" s="30">
        <f t="shared" si="27"/>
        <v>16277232.524999999</v>
      </c>
      <c r="Z58" s="103">
        <v>64234.507</v>
      </c>
      <c r="AA58" s="30">
        <f t="shared" si="27"/>
        <v>15604177.188</v>
      </c>
      <c r="AB58" s="103">
        <v>527771.87</v>
      </c>
      <c r="AC58" s="30">
        <f t="shared" si="27"/>
        <v>13854583.112</v>
      </c>
      <c r="AD58" s="30">
        <f t="shared" si="27"/>
        <v>12238127.661999999</v>
      </c>
      <c r="AE58" s="103">
        <f t="shared" si="27"/>
        <v>4807</v>
      </c>
      <c r="AF58" s="30">
        <f t="shared" si="27"/>
        <v>11742474</v>
      </c>
      <c r="AG58" s="30">
        <f t="shared" si="27"/>
        <v>11518068.324</v>
      </c>
      <c r="AH58" s="30">
        <f t="shared" si="27"/>
        <v>11013505.986999996</v>
      </c>
      <c r="AI58" s="30">
        <f t="shared" si="27"/>
        <v>10643354.852</v>
      </c>
      <c r="AJ58" s="103">
        <f t="shared" si="27"/>
        <v>84863.449</v>
      </c>
      <c r="AK58" s="30">
        <f t="shared" si="27"/>
        <v>10045948.616</v>
      </c>
      <c r="AL58" s="103">
        <f t="shared" si="27"/>
        <v>3923.869</v>
      </c>
      <c r="AM58" s="30">
        <f t="shared" si="27"/>
        <v>8862556.575999998</v>
      </c>
      <c r="AN58" s="103">
        <f t="shared" si="27"/>
        <v>8374266</v>
      </c>
      <c r="AO58" s="30">
        <f t="shared" si="27"/>
        <v>8503536.481</v>
      </c>
      <c r="AP58" s="103">
        <f>AP41-AP56</f>
        <v>7762005</v>
      </c>
      <c r="AQ58" s="30">
        <f t="shared" si="27"/>
        <v>7504773.404</v>
      </c>
      <c r="AR58" s="30">
        <f t="shared" si="27"/>
        <v>7189223.631000001</v>
      </c>
      <c r="AS58" s="103">
        <f t="shared" si="27"/>
        <v>2421.529</v>
      </c>
      <c r="AT58" s="30">
        <f t="shared" si="27"/>
        <v>6772942.002</v>
      </c>
      <c r="AU58" s="103">
        <f>AU41-AU56</f>
        <v>2946.341</v>
      </c>
      <c r="AV58" s="30">
        <f t="shared" si="27"/>
        <v>6457411</v>
      </c>
      <c r="AW58" s="103">
        <v>6132331</v>
      </c>
      <c r="AX58" s="30">
        <f t="shared" si="27"/>
        <v>6070779.312</v>
      </c>
      <c r="AY58" s="30">
        <f t="shared" si="27"/>
        <v>5557691.871</v>
      </c>
      <c r="AZ58" s="103">
        <f t="shared" si="27"/>
        <v>4661997.5770000005</v>
      </c>
      <c r="BA58" s="30">
        <f t="shared" si="27"/>
        <v>5212573.930000001</v>
      </c>
      <c r="BB58" s="30">
        <f t="shared" si="27"/>
        <v>4023612.5909999995</v>
      </c>
      <c r="BC58" s="103">
        <f>BC41-BC56</f>
        <v>3896258.258</v>
      </c>
      <c r="BD58" s="30">
        <f t="shared" si="27"/>
        <v>3291736.781</v>
      </c>
      <c r="BE58" s="103">
        <v>916.642</v>
      </c>
      <c r="BF58" s="30">
        <f t="shared" si="27"/>
        <v>3214727.503</v>
      </c>
      <c r="BG58" s="103">
        <v>57932.545</v>
      </c>
      <c r="BH58" s="30">
        <f t="shared" si="27"/>
        <v>3100530.392</v>
      </c>
      <c r="BI58" s="103">
        <v>44545.359</v>
      </c>
      <c r="BJ58" s="30">
        <f t="shared" si="27"/>
        <v>3006691.239</v>
      </c>
      <c r="BK58" s="30">
        <f t="shared" si="27"/>
        <v>2521492.9269999997</v>
      </c>
      <c r="BL58" s="103">
        <f t="shared" si="27"/>
        <v>2289737.927</v>
      </c>
      <c r="BM58" s="103">
        <f t="shared" si="27"/>
        <v>231754.99999999997</v>
      </c>
      <c r="BN58" s="30">
        <f t="shared" si="27"/>
        <v>2370870.444</v>
      </c>
      <c r="BO58" s="30">
        <f t="shared" si="27"/>
        <v>1993433.8839999998</v>
      </c>
      <c r="BP58" s="30">
        <f t="shared" si="27"/>
        <v>1977470.5299999998</v>
      </c>
      <c r="BQ58" s="30">
        <f t="shared" si="27"/>
        <v>1875175.0809999998</v>
      </c>
      <c r="BR58" s="30">
        <f t="shared" si="27"/>
        <v>1483263.403</v>
      </c>
      <c r="BS58" s="103">
        <f t="shared" si="27"/>
        <v>1309266.571</v>
      </c>
      <c r="BT58" s="103">
        <f t="shared" si="27"/>
        <v>154429.81600000002</v>
      </c>
      <c r="BU58" s="103">
        <f>BU41-BU56</f>
        <v>19567.016</v>
      </c>
      <c r="BV58" s="30">
        <f t="shared" si="27"/>
        <v>1438769.4400000002</v>
      </c>
      <c r="BW58" s="30">
        <f t="shared" si="27"/>
        <v>1349221.5779999997</v>
      </c>
      <c r="BX58" s="30">
        <f t="shared" si="27"/>
        <v>1310949.2810000002</v>
      </c>
      <c r="BY58" s="103">
        <f>BY41-BY56</f>
        <v>1231509.96</v>
      </c>
      <c r="BZ58" s="30">
        <f t="shared" si="27"/>
        <v>1251769.76</v>
      </c>
      <c r="CA58" s="103">
        <f t="shared" si="27"/>
        <v>102430.03400000001</v>
      </c>
      <c r="CB58" s="103">
        <f t="shared" si="27"/>
        <v>1149339.726</v>
      </c>
      <c r="CC58" s="30">
        <f t="shared" si="27"/>
        <v>1185731.7540000002</v>
      </c>
      <c r="CD58" s="30">
        <f t="shared" si="27"/>
        <v>1068011.868</v>
      </c>
      <c r="CE58" s="103">
        <v>1043650.477</v>
      </c>
      <c r="CF58" s="30">
        <f aca="true" t="shared" si="28" ref="CF58:CS58">CF41-CF56</f>
        <v>1057372.815</v>
      </c>
      <c r="CG58" s="30">
        <f t="shared" si="28"/>
        <v>766054.3920000001</v>
      </c>
      <c r="CH58" s="30">
        <f t="shared" si="28"/>
        <v>637155.9360000001</v>
      </c>
      <c r="CI58" s="30">
        <f t="shared" si="28"/>
        <v>581733.557</v>
      </c>
      <c r="CJ58" s="30">
        <f>CJ41-CJ56</f>
        <v>467591.85500000004</v>
      </c>
      <c r="CK58" s="30">
        <f t="shared" si="28"/>
        <v>447038.21</v>
      </c>
      <c r="CL58" s="30">
        <f t="shared" si="28"/>
        <v>417759.473</v>
      </c>
      <c r="CM58" s="30">
        <f t="shared" si="28"/>
        <v>287199.532</v>
      </c>
      <c r="CN58" s="30">
        <f t="shared" si="28"/>
        <v>165173.83800000002</v>
      </c>
      <c r="CO58" s="30">
        <f>CO41-CO56</f>
        <v>109293.43900000001</v>
      </c>
      <c r="CP58" s="30">
        <f>CP41-CP56</f>
        <v>84170.347</v>
      </c>
      <c r="CQ58" s="103">
        <v>67110.369</v>
      </c>
      <c r="CR58" s="30">
        <f t="shared" si="28"/>
        <v>76119.492</v>
      </c>
      <c r="CS58" s="30">
        <f t="shared" si="28"/>
        <v>8910.2</v>
      </c>
      <c r="CT58" s="30"/>
      <c r="CU58" s="30"/>
      <c r="CV58" s="30">
        <f t="shared" si="0"/>
        <v>566087852.79</v>
      </c>
      <c r="CW58" s="30"/>
      <c r="CX58" s="30">
        <f t="shared" si="1"/>
        <v>95983289.19100001</v>
      </c>
      <c r="CY58" s="30">
        <f t="shared" si="2"/>
        <v>470104563.5989998</v>
      </c>
      <c r="CZ58" s="30"/>
    </row>
    <row r="59" spans="1:103" ht="12" customHeight="1">
      <c r="A59" s="92"/>
      <c r="B59" s="92"/>
      <c r="D59" s="92"/>
      <c r="J59" s="92"/>
      <c r="L59" s="92"/>
      <c r="P59" s="92"/>
      <c r="R59" s="92"/>
      <c r="CV59" s="30"/>
      <c r="CX59" s="30"/>
      <c r="CY59" s="30"/>
    </row>
    <row r="60" spans="1:220" ht="12">
      <c r="A60" s="112"/>
      <c r="B60" s="112"/>
      <c r="J60" s="112"/>
      <c r="L60" s="112"/>
      <c r="P60" s="112"/>
      <c r="R60" s="112"/>
      <c r="T60" s="112"/>
      <c r="V60" s="112"/>
      <c r="Y60" s="112"/>
      <c r="AA60" s="112"/>
      <c r="AC60" s="112"/>
      <c r="AD60" s="112"/>
      <c r="AF60" s="112"/>
      <c r="AG60" s="112"/>
      <c r="AH60" s="112"/>
      <c r="AI60" s="112"/>
      <c r="AK60" s="112"/>
      <c r="AM60" s="112"/>
      <c r="AO60" s="112"/>
      <c r="AQ60" s="112"/>
      <c r="AR60" s="112"/>
      <c r="AT60" s="112"/>
      <c r="AV60" s="112"/>
      <c r="AX60" s="112"/>
      <c r="AY60" s="112"/>
      <c r="BA60" s="112"/>
      <c r="BB60" s="112"/>
      <c r="BD60" s="112"/>
      <c r="BF60" s="112"/>
      <c r="BH60" s="112"/>
      <c r="BJ60" s="112"/>
      <c r="BK60" s="112"/>
      <c r="BN60" s="112"/>
      <c r="BO60" s="112"/>
      <c r="BP60" s="112"/>
      <c r="BQ60" s="112"/>
      <c r="BR60" s="112"/>
      <c r="BV60" s="112"/>
      <c r="BW60" s="112"/>
      <c r="BX60" s="112"/>
      <c r="BZ60" s="112"/>
      <c r="CC60" s="112"/>
      <c r="CD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R60" s="112"/>
      <c r="CS60" s="112"/>
      <c r="CT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</row>
    <row r="61" spans="1:220" ht="12.75">
      <c r="A61" s="112"/>
      <c r="B61" s="112"/>
      <c r="J61" s="112"/>
      <c r="L61" s="112"/>
      <c r="P61" s="112"/>
      <c r="R61" s="112"/>
      <c r="T61" s="112"/>
      <c r="V61" s="112"/>
      <c r="Y61" s="112"/>
      <c r="AA61" s="112"/>
      <c r="AC61" s="112"/>
      <c r="AD61" s="112"/>
      <c r="AF61" s="112"/>
      <c r="AG61" s="112"/>
      <c r="AH61" s="112"/>
      <c r="AI61" s="112"/>
      <c r="AK61" s="112"/>
      <c r="AM61" s="112"/>
      <c r="AO61" s="112"/>
      <c r="AQ61" s="112"/>
      <c r="AR61" s="112"/>
      <c r="AT61" s="112"/>
      <c r="AV61" s="112"/>
      <c r="AX61" s="112"/>
      <c r="AY61" s="112"/>
      <c r="BA61" s="112"/>
      <c r="BB61" s="112"/>
      <c r="BD61" s="112"/>
      <c r="BF61" s="112"/>
      <c r="BH61" s="112"/>
      <c r="BJ61" s="112"/>
      <c r="BK61" s="112"/>
      <c r="BN61" s="112"/>
      <c r="BO61" s="112"/>
      <c r="BP61" s="112"/>
      <c r="BQ61" s="112"/>
      <c r="BR61" s="112"/>
      <c r="BV61" s="112"/>
      <c r="BW61" s="112"/>
      <c r="BX61" s="112"/>
      <c r="BZ61" s="112"/>
      <c r="CC61" s="112"/>
      <c r="CD61" s="112"/>
      <c r="CF61" s="112"/>
      <c r="CG61" s="112"/>
      <c r="CH61" s="113"/>
      <c r="CI61" s="112"/>
      <c r="CJ61" s="112"/>
      <c r="CK61" s="112"/>
      <c r="CL61" s="112"/>
      <c r="CM61" s="112"/>
      <c r="CN61" s="112"/>
      <c r="CO61" s="112"/>
      <c r="CP61" s="112"/>
      <c r="CR61" s="112"/>
      <c r="CS61" s="112"/>
      <c r="CT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</row>
    <row r="62" spans="1:220" ht="12.75">
      <c r="A62" s="112"/>
      <c r="B62" s="112"/>
      <c r="J62" s="112"/>
      <c r="L62" s="112"/>
      <c r="P62" s="112"/>
      <c r="R62" s="112"/>
      <c r="T62" s="112"/>
      <c r="V62" s="112"/>
      <c r="Y62" s="112"/>
      <c r="AA62" s="112"/>
      <c r="AC62" s="112"/>
      <c r="AD62" s="112"/>
      <c r="AF62" s="112"/>
      <c r="AG62" s="112"/>
      <c r="AH62" s="112"/>
      <c r="AI62" s="112"/>
      <c r="AK62" s="112"/>
      <c r="AM62" s="112"/>
      <c r="AO62" s="112"/>
      <c r="AQ62" s="112"/>
      <c r="AR62" s="112"/>
      <c r="AT62" s="112"/>
      <c r="AV62" s="112"/>
      <c r="AX62" s="112"/>
      <c r="AY62" s="112"/>
      <c r="BA62" s="112"/>
      <c r="BB62" s="112"/>
      <c r="BD62" s="112"/>
      <c r="BF62" s="112"/>
      <c r="BH62" s="112"/>
      <c r="BJ62" s="112"/>
      <c r="BK62" s="112"/>
      <c r="BN62" s="112"/>
      <c r="BO62" s="112"/>
      <c r="BP62" s="112"/>
      <c r="BQ62" s="112"/>
      <c r="BR62" s="112"/>
      <c r="BV62" s="112"/>
      <c r="BW62" s="112"/>
      <c r="BX62" s="112"/>
      <c r="BZ62" s="112"/>
      <c r="CC62" s="112"/>
      <c r="CD62" s="112"/>
      <c r="CF62" s="112"/>
      <c r="CG62" s="112"/>
      <c r="CH62" s="113"/>
      <c r="CI62" s="112"/>
      <c r="CJ62" s="112"/>
      <c r="CK62" s="112"/>
      <c r="CL62" s="112"/>
      <c r="CM62" s="112"/>
      <c r="CN62" s="112"/>
      <c r="CO62" s="112"/>
      <c r="CP62" s="112"/>
      <c r="CR62" s="112"/>
      <c r="CS62" s="112"/>
      <c r="CT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  <c r="HH62" s="112"/>
      <c r="HI62" s="112"/>
      <c r="HJ62" s="112"/>
      <c r="HK62" s="112"/>
      <c r="HL62" s="112"/>
    </row>
    <row r="63" spans="1:220" ht="12.75">
      <c r="A63" s="112"/>
      <c r="B63" s="112"/>
      <c r="D63" s="112"/>
      <c r="J63" s="112"/>
      <c r="L63" s="112"/>
      <c r="P63" s="112"/>
      <c r="R63" s="112"/>
      <c r="T63" s="112"/>
      <c r="V63" s="112"/>
      <c r="Y63" s="112"/>
      <c r="AA63" s="112"/>
      <c r="AC63" s="112"/>
      <c r="AD63" s="112"/>
      <c r="AF63" s="112"/>
      <c r="AG63" s="112"/>
      <c r="AH63" s="112"/>
      <c r="AI63" s="112"/>
      <c r="AK63" s="112"/>
      <c r="AM63" s="112"/>
      <c r="AO63" s="112"/>
      <c r="AQ63" s="112"/>
      <c r="AR63" s="112"/>
      <c r="AT63" s="112"/>
      <c r="AV63" s="112"/>
      <c r="AX63" s="112"/>
      <c r="AY63" s="112"/>
      <c r="BA63" s="112"/>
      <c r="BB63" s="112"/>
      <c r="BD63" s="112"/>
      <c r="BF63" s="112"/>
      <c r="BH63" s="112"/>
      <c r="BJ63" s="112"/>
      <c r="BK63" s="112"/>
      <c r="BN63" s="112"/>
      <c r="BO63" s="112"/>
      <c r="BP63" s="112"/>
      <c r="BQ63" s="112"/>
      <c r="BR63" s="112"/>
      <c r="BV63" s="112"/>
      <c r="BW63" s="112"/>
      <c r="BX63" s="112"/>
      <c r="BZ63" s="112"/>
      <c r="CC63" s="112"/>
      <c r="CD63" s="112"/>
      <c r="CF63" s="112"/>
      <c r="CG63" s="112"/>
      <c r="CH63" s="113"/>
      <c r="CI63" s="112"/>
      <c r="CJ63" s="112"/>
      <c r="CK63" s="112"/>
      <c r="CL63" s="112"/>
      <c r="CM63" s="112"/>
      <c r="CN63" s="112"/>
      <c r="CO63" s="112"/>
      <c r="CP63" s="112"/>
      <c r="CR63" s="112"/>
      <c r="CS63" s="112"/>
      <c r="CT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  <c r="HF63" s="112"/>
      <c r="HG63" s="112"/>
      <c r="HH63" s="112"/>
      <c r="HI63" s="112"/>
      <c r="HJ63" s="112"/>
      <c r="HK63" s="112"/>
      <c r="HL63" s="112"/>
    </row>
    <row r="64" spans="1:220" ht="12.75">
      <c r="A64" s="112"/>
      <c r="B64" s="112"/>
      <c r="D64" s="112"/>
      <c r="J64" s="112"/>
      <c r="L64" s="112"/>
      <c r="P64" s="112"/>
      <c r="R64" s="112"/>
      <c r="T64" s="112"/>
      <c r="V64" s="112"/>
      <c r="Y64" s="112"/>
      <c r="AA64" s="112"/>
      <c r="AC64" s="112"/>
      <c r="AD64" s="112"/>
      <c r="AF64" s="112"/>
      <c r="AG64" s="112"/>
      <c r="AH64" s="112"/>
      <c r="AI64" s="112"/>
      <c r="AK64" s="112"/>
      <c r="AM64" s="112"/>
      <c r="AO64" s="112"/>
      <c r="AQ64" s="112"/>
      <c r="AR64" s="112"/>
      <c r="AT64" s="112"/>
      <c r="AV64" s="112"/>
      <c r="AX64" s="112"/>
      <c r="AY64" s="112"/>
      <c r="BA64" s="112"/>
      <c r="BB64" s="112"/>
      <c r="BD64" s="112"/>
      <c r="BF64" s="112"/>
      <c r="BH64" s="112"/>
      <c r="BJ64" s="112"/>
      <c r="BK64" s="112"/>
      <c r="BN64" s="112"/>
      <c r="BO64" s="112"/>
      <c r="BP64" s="112"/>
      <c r="BQ64" s="112"/>
      <c r="BR64" s="112"/>
      <c r="BV64" s="112"/>
      <c r="BW64" s="112"/>
      <c r="BX64" s="112"/>
      <c r="BZ64" s="112"/>
      <c r="CC64" s="112"/>
      <c r="CD64" s="112"/>
      <c r="CF64" s="112"/>
      <c r="CG64" s="112"/>
      <c r="CH64" s="113"/>
      <c r="CI64" s="112"/>
      <c r="CJ64" s="112"/>
      <c r="CK64" s="112"/>
      <c r="CL64" s="112"/>
      <c r="CM64" s="112"/>
      <c r="CN64" s="112"/>
      <c r="CO64" s="112"/>
      <c r="CP64" s="112"/>
      <c r="CR64" s="112"/>
      <c r="CS64" s="112"/>
      <c r="CT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2"/>
      <c r="HB64" s="112"/>
      <c r="HC64" s="112"/>
      <c r="HD64" s="112"/>
      <c r="HE64" s="112"/>
      <c r="HF64" s="112"/>
      <c r="HG64" s="112"/>
      <c r="HH64" s="112"/>
      <c r="HI64" s="112"/>
      <c r="HJ64" s="112"/>
      <c r="HK64" s="112"/>
      <c r="HL64" s="112"/>
    </row>
    <row r="65" spans="1:220" ht="12.75">
      <c r="A65" s="112"/>
      <c r="B65" s="112"/>
      <c r="D65" s="112"/>
      <c r="J65" s="112"/>
      <c r="L65" s="112"/>
      <c r="P65" s="112"/>
      <c r="R65" s="112"/>
      <c r="T65" s="112"/>
      <c r="V65" s="112"/>
      <c r="Y65" s="112"/>
      <c r="AA65" s="112"/>
      <c r="AC65" s="112"/>
      <c r="AD65" s="112"/>
      <c r="AF65" s="112"/>
      <c r="AG65" s="112"/>
      <c r="AH65" s="112"/>
      <c r="AI65" s="112"/>
      <c r="AK65" s="112"/>
      <c r="AM65" s="112"/>
      <c r="AO65" s="112"/>
      <c r="AQ65" s="112"/>
      <c r="AR65" s="112"/>
      <c r="AT65" s="112"/>
      <c r="AV65" s="112"/>
      <c r="AX65" s="112"/>
      <c r="AY65" s="112"/>
      <c r="BA65" s="112"/>
      <c r="BB65" s="112"/>
      <c r="BD65" s="112"/>
      <c r="BF65" s="112"/>
      <c r="BH65" s="112"/>
      <c r="BJ65" s="112"/>
      <c r="BK65" s="112"/>
      <c r="BN65" s="112"/>
      <c r="BO65" s="112"/>
      <c r="BP65" s="112"/>
      <c r="BQ65" s="112"/>
      <c r="BR65" s="112"/>
      <c r="BV65" s="112"/>
      <c r="BW65" s="112"/>
      <c r="BX65" s="112"/>
      <c r="BZ65" s="112"/>
      <c r="CC65" s="112"/>
      <c r="CD65" s="112"/>
      <c r="CF65" s="112"/>
      <c r="CG65" s="112"/>
      <c r="CH65" s="113"/>
      <c r="CI65" s="112"/>
      <c r="CJ65" s="112"/>
      <c r="CK65" s="112"/>
      <c r="CL65" s="112"/>
      <c r="CM65" s="112"/>
      <c r="CN65" s="112"/>
      <c r="CO65" s="112"/>
      <c r="CP65" s="112"/>
      <c r="CR65" s="112"/>
      <c r="CS65" s="112"/>
      <c r="CT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2"/>
      <c r="FV65" s="112"/>
      <c r="FW65" s="112"/>
      <c r="FX65" s="112"/>
      <c r="FY65" s="112"/>
      <c r="FZ65" s="112"/>
      <c r="GA65" s="112"/>
      <c r="GB65" s="112"/>
      <c r="GC65" s="112"/>
      <c r="GD65" s="112"/>
      <c r="GE65" s="112"/>
      <c r="GF65" s="112"/>
      <c r="GG65" s="112"/>
      <c r="GH65" s="112"/>
      <c r="GI65" s="112"/>
      <c r="GJ65" s="112"/>
      <c r="GK65" s="112"/>
      <c r="GL65" s="112"/>
      <c r="GM65" s="112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2"/>
      <c r="HB65" s="112"/>
      <c r="HC65" s="112"/>
      <c r="HD65" s="112"/>
      <c r="HE65" s="112"/>
      <c r="HF65" s="112"/>
      <c r="HG65" s="112"/>
      <c r="HH65" s="112"/>
      <c r="HI65" s="112"/>
      <c r="HJ65" s="112"/>
      <c r="HK65" s="112"/>
      <c r="HL65" s="112"/>
    </row>
    <row r="66" ht="12.75">
      <c r="CH66" s="113"/>
    </row>
  </sheetData>
  <sheetProtection/>
  <printOptions/>
  <pageMargins left="0.7480314960629921" right="0.7480314960629921" top="1.3385826771653544" bottom="0.5118110236220472" header="0.6692913385826772" footer="0.31496062992125984"/>
  <pageSetup firstPageNumber="12" useFirstPageNumber="1" horizontalDpi="600" verticalDpi="600" orientation="portrait" paperSize="9" r:id="rId3"/>
  <headerFooter alignWithMargins="0">
    <oddHeader>&amp;C&amp;"Times New Roman,Bold"&amp;14 3.1. EFNAHAGSREIKNINGAR 31.12.2000</oddHeader>
    <oddFooter>&amp;R&amp;"Times New Roman,Regular"&amp;P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DE72"/>
  <sheetViews>
    <sheetView zoomScalePageLayoutView="0" workbookViewId="0" topLeftCell="A1">
      <pane xSplit="1" ySplit="5" topLeftCell="F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68" sqref="F68"/>
    </sheetView>
  </sheetViews>
  <sheetFormatPr defaultColWidth="9.00390625" defaultRowHeight="12.75"/>
  <cols>
    <col min="1" max="1" width="26.25390625" style="91" customWidth="1"/>
    <col min="2" max="2" width="9.75390625" style="91" bestFit="1" customWidth="1"/>
    <col min="3" max="3" width="7.875" style="92" customWidth="1"/>
    <col min="4" max="4" width="9.50390625" style="91" bestFit="1" customWidth="1"/>
    <col min="5" max="9" width="7.875" style="92" customWidth="1"/>
    <col min="10" max="10" width="9.125" style="91" bestFit="1" customWidth="1"/>
    <col min="11" max="11" width="7.875" style="92" customWidth="1"/>
    <col min="12" max="12" width="9.25390625" style="91" bestFit="1" customWidth="1"/>
    <col min="13" max="15" width="7.875" style="92" customWidth="1"/>
    <col min="16" max="16" width="9.25390625" style="91" bestFit="1" customWidth="1"/>
    <col min="17" max="17" width="7.875" style="92" customWidth="1"/>
    <col min="18" max="18" width="9.125" style="91" bestFit="1" customWidth="1"/>
    <col min="19" max="19" width="7.875" style="92" customWidth="1"/>
    <col min="20" max="20" width="9.125" style="91" bestFit="1" customWidth="1"/>
    <col min="21" max="21" width="7.875" style="92" customWidth="1"/>
    <col min="22" max="22" width="9.125" style="91" bestFit="1" customWidth="1"/>
    <col min="23" max="24" width="7.875" style="92" customWidth="1"/>
    <col min="25" max="25" width="9.00390625" style="91" customWidth="1"/>
    <col min="26" max="26" width="7.875" style="92" customWidth="1"/>
    <col min="27" max="27" width="9.00390625" style="91" customWidth="1"/>
    <col min="28" max="28" width="7.875" style="92" customWidth="1"/>
    <col min="29" max="30" width="9.00390625" style="91" customWidth="1"/>
    <col min="31" max="31" width="7.875" style="92" customWidth="1"/>
    <col min="32" max="35" width="9.00390625" style="91" customWidth="1"/>
    <col min="36" max="36" width="7.875" style="92" customWidth="1"/>
    <col min="37" max="37" width="9.00390625" style="91" customWidth="1"/>
    <col min="38" max="38" width="7.875" style="92" customWidth="1"/>
    <col min="39" max="39" width="9.00390625" style="91" customWidth="1"/>
    <col min="40" max="40" width="7.875" style="92" customWidth="1"/>
    <col min="41" max="41" width="9.00390625" style="91" customWidth="1"/>
    <col min="42" max="42" width="7.875" style="92" customWidth="1"/>
    <col min="43" max="44" width="9.00390625" style="91" customWidth="1"/>
    <col min="45" max="45" width="7.875" style="92" customWidth="1"/>
    <col min="46" max="46" width="9.00390625" style="91" customWidth="1"/>
    <col min="47" max="47" width="7.875" style="92" customWidth="1"/>
    <col min="48" max="48" width="9.00390625" style="91" customWidth="1"/>
    <col min="49" max="49" width="7.875" style="92" customWidth="1"/>
    <col min="50" max="51" width="9.00390625" style="91" customWidth="1"/>
    <col min="52" max="52" width="8.25390625" style="92" customWidth="1"/>
    <col min="53" max="54" width="9.00390625" style="91" customWidth="1"/>
    <col min="55" max="55" width="7.875" style="92" customWidth="1"/>
    <col min="56" max="56" width="9.00390625" style="91" customWidth="1"/>
    <col min="57" max="57" width="7.875" style="92" customWidth="1"/>
    <col min="58" max="58" width="9.00390625" style="91" customWidth="1"/>
    <col min="59" max="59" width="7.875" style="92" customWidth="1"/>
    <col min="60" max="60" width="9.00390625" style="91" customWidth="1"/>
    <col min="61" max="61" width="7.875" style="92" customWidth="1"/>
    <col min="62" max="63" width="9.00390625" style="91" customWidth="1"/>
    <col min="64" max="65" width="7.875" style="92" customWidth="1"/>
    <col min="66" max="70" width="9.00390625" style="91" customWidth="1"/>
    <col min="71" max="73" width="7.875" style="92" customWidth="1"/>
    <col min="74" max="76" width="9.00390625" style="91" customWidth="1"/>
    <col min="77" max="77" width="7.875" style="92" customWidth="1"/>
    <col min="78" max="78" width="9.00390625" style="91" customWidth="1"/>
    <col min="79" max="80" width="7.875" style="92" customWidth="1"/>
    <col min="81" max="82" width="9.00390625" style="91" customWidth="1"/>
    <col min="83" max="83" width="7.875" style="92" customWidth="1"/>
    <col min="84" max="94" width="9.00390625" style="91" customWidth="1"/>
    <col min="95" max="95" width="7.875" style="92" customWidth="1"/>
    <col min="96" max="98" width="9.00390625" style="91" customWidth="1"/>
    <col min="99" max="99" width="2.50390625" style="91" customWidth="1"/>
    <col min="100" max="100" width="10.75390625" style="91" customWidth="1"/>
    <col min="101" max="101" width="2.625" style="91" customWidth="1"/>
    <col min="102" max="102" width="11.00390625" style="91" customWidth="1"/>
    <col min="103" max="103" width="10.875" style="91" customWidth="1"/>
    <col min="104" max="104" width="2.25390625" style="91" customWidth="1"/>
    <col min="105" max="105" width="0" style="91" hidden="1" customWidth="1"/>
    <col min="106" max="16384" width="9.00390625" style="91" customWidth="1"/>
  </cols>
  <sheetData>
    <row r="1" spans="1:104" ht="12.75" customHeight="1">
      <c r="A1" s="30"/>
      <c r="B1" s="88" t="s">
        <v>0</v>
      </c>
      <c r="C1" s="89" t="s">
        <v>0</v>
      </c>
      <c r="D1" s="88" t="s">
        <v>0</v>
      </c>
      <c r="E1" s="89" t="s">
        <v>0</v>
      </c>
      <c r="F1" s="89" t="s">
        <v>0</v>
      </c>
      <c r="G1" s="89" t="s">
        <v>0</v>
      </c>
      <c r="H1" s="89" t="s">
        <v>0</v>
      </c>
      <c r="I1" s="89" t="s">
        <v>0</v>
      </c>
      <c r="J1" s="88" t="s">
        <v>0</v>
      </c>
      <c r="K1" s="89" t="s">
        <v>0</v>
      </c>
      <c r="L1" s="88" t="s">
        <v>1</v>
      </c>
      <c r="M1" s="89" t="s">
        <v>1</v>
      </c>
      <c r="N1" s="89" t="s">
        <v>1</v>
      </c>
      <c r="O1" s="89" t="s">
        <v>1</v>
      </c>
      <c r="P1" s="88" t="s">
        <v>0</v>
      </c>
      <c r="Q1" s="89" t="s">
        <v>0</v>
      </c>
      <c r="R1" s="88" t="s">
        <v>0</v>
      </c>
      <c r="S1" s="89" t="s">
        <v>0</v>
      </c>
      <c r="T1" s="88" t="s">
        <v>2</v>
      </c>
      <c r="U1" s="89" t="s">
        <v>2</v>
      </c>
      <c r="V1" s="88" t="s">
        <v>0</v>
      </c>
      <c r="W1" s="89" t="s">
        <v>0</v>
      </c>
      <c r="X1" s="89" t="s">
        <v>0</v>
      </c>
      <c r="Y1" s="88" t="s">
        <v>0</v>
      </c>
      <c r="Z1" s="89" t="s">
        <v>0</v>
      </c>
      <c r="AA1" s="88" t="s">
        <v>3</v>
      </c>
      <c r="AB1" s="89" t="s">
        <v>3</v>
      </c>
      <c r="AC1" s="88" t="s">
        <v>0</v>
      </c>
      <c r="AD1" s="88" t="s">
        <v>0</v>
      </c>
      <c r="AE1" s="89" t="s">
        <v>0</v>
      </c>
      <c r="AF1" s="88" t="s">
        <v>0</v>
      </c>
      <c r="AG1" s="88" t="s">
        <v>0</v>
      </c>
      <c r="AH1" s="88" t="s">
        <v>0</v>
      </c>
      <c r="AI1" s="90" t="s">
        <v>0</v>
      </c>
      <c r="AJ1" s="89" t="s">
        <v>0</v>
      </c>
      <c r="AK1" s="88" t="s">
        <v>0</v>
      </c>
      <c r="AL1" s="89" t="s">
        <v>0</v>
      </c>
      <c r="AM1" s="88" t="s">
        <v>5</v>
      </c>
      <c r="AN1" s="89" t="s">
        <v>5</v>
      </c>
      <c r="AO1" s="88" t="s">
        <v>7</v>
      </c>
      <c r="AP1" s="89" t="s">
        <v>7</v>
      </c>
      <c r="AQ1" s="88" t="s">
        <v>0</v>
      </c>
      <c r="AR1" s="88" t="s">
        <v>0</v>
      </c>
      <c r="AS1" s="89" t="s">
        <v>0</v>
      </c>
      <c r="AT1" s="88" t="s">
        <v>303</v>
      </c>
      <c r="AU1" s="89" t="s">
        <v>303</v>
      </c>
      <c r="AV1" s="88" t="s">
        <v>6</v>
      </c>
      <c r="AW1" s="89" t="s">
        <v>6</v>
      </c>
      <c r="AX1" s="88" t="s">
        <v>0</v>
      </c>
      <c r="AY1" s="88" t="s">
        <v>0</v>
      </c>
      <c r="AZ1" s="89" t="s">
        <v>0</v>
      </c>
      <c r="BA1" s="88" t="s">
        <v>0</v>
      </c>
      <c r="BB1" s="88" t="s">
        <v>8</v>
      </c>
      <c r="BC1" s="89" t="s">
        <v>8</v>
      </c>
      <c r="BD1" s="88" t="s">
        <v>0</v>
      </c>
      <c r="BE1" s="89" t="s">
        <v>0</v>
      </c>
      <c r="BF1" s="88" t="s">
        <v>6</v>
      </c>
      <c r="BG1" s="89" t="s">
        <v>6</v>
      </c>
      <c r="BH1" s="88" t="s">
        <v>0</v>
      </c>
      <c r="BI1" s="89" t="s">
        <v>0</v>
      </c>
      <c r="BJ1" s="88" t="s">
        <v>0</v>
      </c>
      <c r="BK1" s="88" t="s">
        <v>0</v>
      </c>
      <c r="BL1" s="89" t="s">
        <v>0</v>
      </c>
      <c r="BM1" s="89" t="s">
        <v>0</v>
      </c>
      <c r="BN1" s="88" t="s">
        <v>4</v>
      </c>
      <c r="BO1" s="88" t="s">
        <v>0</v>
      </c>
      <c r="BP1" s="88" t="s">
        <v>0</v>
      </c>
      <c r="BQ1" s="88" t="s">
        <v>0</v>
      </c>
      <c r="BR1" s="88" t="s">
        <v>0</v>
      </c>
      <c r="BS1" s="89" t="s">
        <v>0</v>
      </c>
      <c r="BT1" s="89" t="s">
        <v>0</v>
      </c>
      <c r="BU1" s="89" t="s">
        <v>0</v>
      </c>
      <c r="BV1" s="88" t="s">
        <v>4</v>
      </c>
      <c r="BW1" s="88" t="s">
        <v>0</v>
      </c>
      <c r="BX1" s="88" t="s">
        <v>50</v>
      </c>
      <c r="BY1" s="89" t="s">
        <v>50</v>
      </c>
      <c r="BZ1" s="88" t="s">
        <v>4</v>
      </c>
      <c r="CA1" s="89" t="s">
        <v>4</v>
      </c>
      <c r="CB1" s="89" t="s">
        <v>4</v>
      </c>
      <c r="CC1" s="88" t="s">
        <v>0</v>
      </c>
      <c r="CD1" s="88" t="s">
        <v>0</v>
      </c>
      <c r="CE1" s="89" t="s">
        <v>0</v>
      </c>
      <c r="CF1" s="88" t="s">
        <v>0</v>
      </c>
      <c r="CG1" s="88" t="s">
        <v>0</v>
      </c>
      <c r="CH1" s="88" t="s">
        <v>4</v>
      </c>
      <c r="CI1" s="88" t="s">
        <v>4</v>
      </c>
      <c r="CJ1" s="88" t="s">
        <v>4</v>
      </c>
      <c r="CK1" s="88" t="s">
        <v>0</v>
      </c>
      <c r="CL1" s="88" t="s">
        <v>6</v>
      </c>
      <c r="CM1" s="88" t="s">
        <v>0</v>
      </c>
      <c r="CN1" s="88" t="s">
        <v>0</v>
      </c>
      <c r="CO1" s="88" t="s">
        <v>4</v>
      </c>
      <c r="CP1" s="88" t="s">
        <v>9</v>
      </c>
      <c r="CQ1" s="89" t="s">
        <v>9</v>
      </c>
      <c r="CR1" s="88" t="s">
        <v>0</v>
      </c>
      <c r="CS1" s="88" t="s">
        <v>0</v>
      </c>
      <c r="CT1" s="88"/>
      <c r="CV1" s="90" t="s">
        <v>10</v>
      </c>
      <c r="CW1" s="90"/>
      <c r="CX1" s="90" t="s">
        <v>0</v>
      </c>
      <c r="CY1" s="90" t="s">
        <v>0</v>
      </c>
      <c r="CZ1" s="90"/>
    </row>
    <row r="2" spans="1:104" ht="12.75">
      <c r="A2" s="27" t="s">
        <v>11</v>
      </c>
      <c r="B2" s="88" t="s">
        <v>12</v>
      </c>
      <c r="C2" s="89" t="s">
        <v>12</v>
      </c>
      <c r="D2" s="88" t="s">
        <v>413</v>
      </c>
      <c r="E2" s="89" t="s">
        <v>413</v>
      </c>
      <c r="F2" s="89" t="s">
        <v>413</v>
      </c>
      <c r="G2" s="89" t="s">
        <v>413</v>
      </c>
      <c r="H2" s="89" t="s">
        <v>413</v>
      </c>
      <c r="I2" s="89" t="s">
        <v>413</v>
      </c>
      <c r="J2" s="88" t="s">
        <v>16</v>
      </c>
      <c r="K2" s="89" t="s">
        <v>16</v>
      </c>
      <c r="L2" s="88" t="s">
        <v>15</v>
      </c>
      <c r="M2" s="89" t="s">
        <v>15</v>
      </c>
      <c r="N2" s="89" t="s">
        <v>15</v>
      </c>
      <c r="O2" s="89" t="s">
        <v>15</v>
      </c>
      <c r="P2" s="88" t="s">
        <v>13</v>
      </c>
      <c r="Q2" s="89" t="s">
        <v>13</v>
      </c>
      <c r="R2" s="88" t="s">
        <v>17</v>
      </c>
      <c r="S2" s="89" t="s">
        <v>17</v>
      </c>
      <c r="T2" s="88" t="s">
        <v>15</v>
      </c>
      <c r="U2" s="89" t="s">
        <v>15</v>
      </c>
      <c r="V2" s="88" t="s">
        <v>311</v>
      </c>
      <c r="W2" s="89" t="s">
        <v>311</v>
      </c>
      <c r="X2" s="89" t="s">
        <v>311</v>
      </c>
      <c r="Y2" s="88" t="s">
        <v>268</v>
      </c>
      <c r="Z2" s="89" t="s">
        <v>268</v>
      </c>
      <c r="AA2" s="88" t="s">
        <v>15</v>
      </c>
      <c r="AB2" s="89" t="s">
        <v>15</v>
      </c>
      <c r="AC2" s="88" t="s">
        <v>19</v>
      </c>
      <c r="AD2" s="88" t="s">
        <v>20</v>
      </c>
      <c r="AE2" s="89" t="s">
        <v>20</v>
      </c>
      <c r="AF2" s="88" t="s">
        <v>22</v>
      </c>
      <c r="AG2" s="88" t="s">
        <v>18</v>
      </c>
      <c r="AH2" s="88" t="s">
        <v>21</v>
      </c>
      <c r="AI2" s="90" t="s">
        <v>322</v>
      </c>
      <c r="AJ2" s="89" t="s">
        <v>322</v>
      </c>
      <c r="AK2" s="88" t="s">
        <v>23</v>
      </c>
      <c r="AL2" s="89" t="s">
        <v>23</v>
      </c>
      <c r="AM2" s="88" t="s">
        <v>15</v>
      </c>
      <c r="AN2" s="89" t="s">
        <v>15</v>
      </c>
      <c r="AO2" s="88" t="s">
        <v>30</v>
      </c>
      <c r="AP2" s="89" t="s">
        <v>30</v>
      </c>
      <c r="AQ2" s="88" t="s">
        <v>25</v>
      </c>
      <c r="AR2" s="88" t="s">
        <v>24</v>
      </c>
      <c r="AS2" s="89" t="s">
        <v>24</v>
      </c>
      <c r="AT2" s="88" t="s">
        <v>46</v>
      </c>
      <c r="AU2" s="89" t="s">
        <v>46</v>
      </c>
      <c r="AV2" s="88" t="s">
        <v>29</v>
      </c>
      <c r="AW2" s="89" t="s">
        <v>29</v>
      </c>
      <c r="AX2" s="88" t="s">
        <v>14</v>
      </c>
      <c r="AY2" s="88" t="s">
        <v>313</v>
      </c>
      <c r="AZ2" s="89" t="s">
        <v>313</v>
      </c>
      <c r="BA2" s="88" t="s">
        <v>71</v>
      </c>
      <c r="BB2" s="88" t="s">
        <v>15</v>
      </c>
      <c r="BC2" s="89" t="s">
        <v>15</v>
      </c>
      <c r="BD2" s="88" t="s">
        <v>26</v>
      </c>
      <c r="BE2" s="89" t="s">
        <v>26</v>
      </c>
      <c r="BF2" s="88" t="s">
        <v>29</v>
      </c>
      <c r="BG2" s="89" t="s">
        <v>29</v>
      </c>
      <c r="BH2" s="88" t="s">
        <v>27</v>
      </c>
      <c r="BI2" s="89" t="s">
        <v>27</v>
      </c>
      <c r="BJ2" s="88" t="s">
        <v>14</v>
      </c>
      <c r="BK2" s="88" t="s">
        <v>28</v>
      </c>
      <c r="BL2" s="89" t="s">
        <v>28</v>
      </c>
      <c r="BM2" s="89" t="s">
        <v>28</v>
      </c>
      <c r="BN2" s="88" t="s">
        <v>14</v>
      </c>
      <c r="BO2" s="88" t="s">
        <v>31</v>
      </c>
      <c r="BP2" s="88" t="s">
        <v>32</v>
      </c>
      <c r="BQ2" s="88" t="s">
        <v>33</v>
      </c>
      <c r="BR2" s="88" t="s">
        <v>14</v>
      </c>
      <c r="BS2" s="89" t="s">
        <v>14</v>
      </c>
      <c r="BT2" s="89" t="s">
        <v>14</v>
      </c>
      <c r="BU2" s="89" t="s">
        <v>14</v>
      </c>
      <c r="BV2" s="88" t="s">
        <v>34</v>
      </c>
      <c r="BW2" s="88" t="s">
        <v>36</v>
      </c>
      <c r="BX2" s="88" t="s">
        <v>15</v>
      </c>
      <c r="BY2" s="89" t="s">
        <v>15</v>
      </c>
      <c r="BZ2" s="88" t="s">
        <v>37</v>
      </c>
      <c r="CA2" s="89" t="s">
        <v>37</v>
      </c>
      <c r="CB2" s="89" t="s">
        <v>37</v>
      </c>
      <c r="CC2" s="88" t="s">
        <v>35</v>
      </c>
      <c r="CD2" s="88" t="s">
        <v>39</v>
      </c>
      <c r="CE2" s="89" t="s">
        <v>39</v>
      </c>
      <c r="CF2" s="88" t="s">
        <v>38</v>
      </c>
      <c r="CG2" s="88" t="s">
        <v>41</v>
      </c>
      <c r="CH2" s="88" t="s">
        <v>40</v>
      </c>
      <c r="CI2" s="88" t="s">
        <v>42</v>
      </c>
      <c r="CJ2" s="88" t="s">
        <v>298</v>
      </c>
      <c r="CK2" s="88" t="s">
        <v>14</v>
      </c>
      <c r="CL2" s="88" t="s">
        <v>29</v>
      </c>
      <c r="CM2" s="88" t="s">
        <v>43</v>
      </c>
      <c r="CN2" s="88" t="s">
        <v>45</v>
      </c>
      <c r="CO2" s="88" t="s">
        <v>44</v>
      </c>
      <c r="CP2" s="88" t="s">
        <v>46</v>
      </c>
      <c r="CQ2" s="89" t="s">
        <v>46</v>
      </c>
      <c r="CR2" s="88" t="s">
        <v>47</v>
      </c>
      <c r="CS2" s="88" t="s">
        <v>48</v>
      </c>
      <c r="CT2" s="88"/>
      <c r="CV2" s="90" t="s">
        <v>49</v>
      </c>
      <c r="CW2" s="90"/>
      <c r="CX2" s="90" t="s">
        <v>310</v>
      </c>
      <c r="CY2" s="90" t="s">
        <v>349</v>
      </c>
      <c r="CZ2" s="90"/>
    </row>
    <row r="3" spans="1:104" ht="12.75">
      <c r="A3" s="30"/>
      <c r="B3" s="88" t="s">
        <v>51</v>
      </c>
      <c r="C3" s="89" t="s">
        <v>51</v>
      </c>
      <c r="D3" s="88" t="s">
        <v>424</v>
      </c>
      <c r="E3" s="92" t="s">
        <v>135</v>
      </c>
      <c r="F3" s="92" t="s">
        <v>135</v>
      </c>
      <c r="G3" s="93" t="s">
        <v>416</v>
      </c>
      <c r="H3" s="93" t="s">
        <v>418</v>
      </c>
      <c r="I3" s="93" t="s">
        <v>436</v>
      </c>
      <c r="J3" s="88" t="s">
        <v>135</v>
      </c>
      <c r="K3" s="93" t="s">
        <v>436</v>
      </c>
      <c r="L3" s="88" t="s">
        <v>29</v>
      </c>
      <c r="M3" s="89" t="s">
        <v>29</v>
      </c>
      <c r="N3" s="89" t="s">
        <v>29</v>
      </c>
      <c r="O3" s="89" t="s">
        <v>29</v>
      </c>
      <c r="P3" s="88" t="s">
        <v>135</v>
      </c>
      <c r="Q3" s="93" t="s">
        <v>436</v>
      </c>
      <c r="R3" s="88" t="s">
        <v>53</v>
      </c>
      <c r="S3" s="89" t="s">
        <v>53</v>
      </c>
      <c r="T3" s="88" t="s">
        <v>52</v>
      </c>
      <c r="U3" s="89" t="s">
        <v>52</v>
      </c>
      <c r="V3" s="88" t="s">
        <v>66</v>
      </c>
      <c r="W3" s="89" t="s">
        <v>66</v>
      </c>
      <c r="X3" s="89" t="s">
        <v>66</v>
      </c>
      <c r="Y3" s="88" t="s">
        <v>135</v>
      </c>
      <c r="Z3" s="93" t="s">
        <v>436</v>
      </c>
      <c r="AA3" s="88" t="s">
        <v>29</v>
      </c>
      <c r="AB3" s="89" t="s">
        <v>29</v>
      </c>
      <c r="AC3" s="88" t="s">
        <v>53</v>
      </c>
      <c r="AD3" s="88" t="s">
        <v>54</v>
      </c>
      <c r="AE3" s="89" t="s">
        <v>54</v>
      </c>
      <c r="AF3" s="88" t="s">
        <v>135</v>
      </c>
      <c r="AG3" s="88" t="s">
        <v>135</v>
      </c>
      <c r="AH3" s="88" t="s">
        <v>55</v>
      </c>
      <c r="AI3" s="90" t="s">
        <v>321</v>
      </c>
      <c r="AJ3" s="89" t="s">
        <v>321</v>
      </c>
      <c r="AK3" s="88" t="s">
        <v>300</v>
      </c>
      <c r="AL3" s="89" t="s">
        <v>300</v>
      </c>
      <c r="AM3" s="88" t="s">
        <v>29</v>
      </c>
      <c r="AN3" s="89" t="s">
        <v>29</v>
      </c>
      <c r="AO3" s="88" t="s">
        <v>62</v>
      </c>
      <c r="AP3" s="89" t="s">
        <v>62</v>
      </c>
      <c r="AQ3" s="88" t="s">
        <v>203</v>
      </c>
      <c r="AR3" s="88" t="s">
        <v>53</v>
      </c>
      <c r="AS3" s="89" t="s">
        <v>53</v>
      </c>
      <c r="AT3" s="88" t="s">
        <v>304</v>
      </c>
      <c r="AU3" s="89" t="s">
        <v>304</v>
      </c>
      <c r="AV3" s="88" t="s">
        <v>77</v>
      </c>
      <c r="AW3" s="89" t="s">
        <v>77</v>
      </c>
      <c r="AX3" s="88" t="s">
        <v>323</v>
      </c>
      <c r="AY3" s="88" t="s">
        <v>314</v>
      </c>
      <c r="AZ3" s="89" t="s">
        <v>314</v>
      </c>
      <c r="BA3" s="88"/>
      <c r="BB3" s="88" t="s">
        <v>73</v>
      </c>
      <c r="BC3" s="89" t="s">
        <v>73</v>
      </c>
      <c r="BD3" s="88" t="s">
        <v>57</v>
      </c>
      <c r="BE3" s="89" t="s">
        <v>57</v>
      </c>
      <c r="BF3" s="88" t="s">
        <v>61</v>
      </c>
      <c r="BG3" s="89" t="s">
        <v>61</v>
      </c>
      <c r="BH3" s="88"/>
      <c r="BI3" s="93" t="s">
        <v>436</v>
      </c>
      <c r="BJ3" s="88" t="s">
        <v>58</v>
      </c>
      <c r="BK3" s="88" t="s">
        <v>59</v>
      </c>
      <c r="BL3" s="89" t="s">
        <v>59</v>
      </c>
      <c r="BM3" s="89" t="s">
        <v>59</v>
      </c>
      <c r="BN3" s="88" t="s">
        <v>60</v>
      </c>
      <c r="BO3" s="88" t="s">
        <v>63</v>
      </c>
      <c r="BP3" s="88" t="s">
        <v>64</v>
      </c>
      <c r="BQ3" s="88"/>
      <c r="BR3" s="88" t="s">
        <v>315</v>
      </c>
      <c r="BS3" s="89" t="s">
        <v>315</v>
      </c>
      <c r="BT3" s="89" t="s">
        <v>315</v>
      </c>
      <c r="BU3" s="89" t="s">
        <v>315</v>
      </c>
      <c r="BV3" s="88" t="s">
        <v>65</v>
      </c>
      <c r="BW3" s="88" t="s">
        <v>68</v>
      </c>
      <c r="BX3" s="88" t="s">
        <v>29</v>
      </c>
      <c r="BY3" s="89" t="s">
        <v>29</v>
      </c>
      <c r="BZ3" s="88" t="s">
        <v>318</v>
      </c>
      <c r="CA3" s="89" t="s">
        <v>318</v>
      </c>
      <c r="CB3" s="89" t="s">
        <v>318</v>
      </c>
      <c r="CC3" s="88" t="s">
        <v>67</v>
      </c>
      <c r="CD3" s="88" t="s">
        <v>56</v>
      </c>
      <c r="CE3" s="89" t="s">
        <v>56</v>
      </c>
      <c r="CF3" s="88" t="s">
        <v>70</v>
      </c>
      <c r="CG3" s="88" t="s">
        <v>69</v>
      </c>
      <c r="CH3" s="88" t="s">
        <v>71</v>
      </c>
      <c r="CI3" s="88" t="s">
        <v>72</v>
      </c>
      <c r="CJ3" s="88" t="s">
        <v>76</v>
      </c>
      <c r="CK3" s="88" t="s">
        <v>74</v>
      </c>
      <c r="CL3" s="88" t="s">
        <v>75</v>
      </c>
      <c r="CM3" s="88" t="s">
        <v>78</v>
      </c>
      <c r="CN3" s="88" t="s">
        <v>80</v>
      </c>
      <c r="CO3" s="88" t="s">
        <v>79</v>
      </c>
      <c r="CP3" s="88" t="s">
        <v>81</v>
      </c>
      <c r="CQ3" s="89" t="s">
        <v>81</v>
      </c>
      <c r="CR3" s="88" t="s">
        <v>82</v>
      </c>
      <c r="CS3" s="88" t="s">
        <v>83</v>
      </c>
      <c r="CT3" s="88"/>
      <c r="CV3" s="90" t="s">
        <v>84</v>
      </c>
      <c r="CW3" s="90"/>
      <c r="CX3" s="90" t="s">
        <v>309</v>
      </c>
      <c r="CY3" s="90" t="s">
        <v>309</v>
      </c>
      <c r="CZ3" s="90"/>
    </row>
    <row r="4" spans="1:104" ht="12.75">
      <c r="A4" s="94"/>
      <c r="B4" s="95" t="s">
        <v>85</v>
      </c>
      <c r="C4" s="96" t="s">
        <v>436</v>
      </c>
      <c r="D4" s="95" t="s">
        <v>86</v>
      </c>
      <c r="E4" s="93" t="s">
        <v>414</v>
      </c>
      <c r="F4" s="93" t="s">
        <v>415</v>
      </c>
      <c r="G4" s="93" t="s">
        <v>417</v>
      </c>
      <c r="H4" s="93" t="s">
        <v>419</v>
      </c>
      <c r="I4" s="93" t="s">
        <v>419</v>
      </c>
      <c r="J4" s="95" t="s">
        <v>87</v>
      </c>
      <c r="K4" s="93" t="s">
        <v>419</v>
      </c>
      <c r="L4" s="95" t="s">
        <v>88</v>
      </c>
      <c r="M4" s="96" t="s">
        <v>426</v>
      </c>
      <c r="N4" s="96" t="s">
        <v>438</v>
      </c>
      <c r="O4" s="96" t="s">
        <v>436</v>
      </c>
      <c r="P4" s="95" t="s">
        <v>89</v>
      </c>
      <c r="Q4" s="93" t="s">
        <v>419</v>
      </c>
      <c r="R4" s="95" t="s">
        <v>90</v>
      </c>
      <c r="S4" s="96" t="s">
        <v>436</v>
      </c>
      <c r="T4" s="95" t="s">
        <v>91</v>
      </c>
      <c r="U4" s="96" t="s">
        <v>436</v>
      </c>
      <c r="V4" s="95" t="s">
        <v>92</v>
      </c>
      <c r="W4" s="96" t="s">
        <v>383</v>
      </c>
      <c r="X4" s="96" t="s">
        <v>442</v>
      </c>
      <c r="Y4" s="95" t="s">
        <v>199</v>
      </c>
      <c r="Z4" s="93" t="s">
        <v>419</v>
      </c>
      <c r="AA4" s="95" t="s">
        <v>200</v>
      </c>
      <c r="AB4" s="93" t="s">
        <v>436</v>
      </c>
      <c r="AC4" s="95" t="s">
        <v>201</v>
      </c>
      <c r="AD4" s="95" t="s">
        <v>93</v>
      </c>
      <c r="AE4" s="96" t="s">
        <v>436</v>
      </c>
      <c r="AF4" s="95" t="s">
        <v>94</v>
      </c>
      <c r="AG4" s="95" t="s">
        <v>95</v>
      </c>
      <c r="AH4" s="95" t="s">
        <v>96</v>
      </c>
      <c r="AI4" s="95" t="s">
        <v>97</v>
      </c>
      <c r="AJ4" s="96" t="s">
        <v>436</v>
      </c>
      <c r="AK4" s="95" t="s">
        <v>98</v>
      </c>
      <c r="AL4" s="96" t="s">
        <v>436</v>
      </c>
      <c r="AM4" s="95" t="s">
        <v>99</v>
      </c>
      <c r="AN4" s="96" t="s">
        <v>436</v>
      </c>
      <c r="AO4" s="95" t="s">
        <v>100</v>
      </c>
      <c r="AP4" s="96" t="s">
        <v>436</v>
      </c>
      <c r="AQ4" s="95" t="s">
        <v>101</v>
      </c>
      <c r="AR4" s="95" t="s">
        <v>102</v>
      </c>
      <c r="AS4" s="96" t="s">
        <v>436</v>
      </c>
      <c r="AT4" s="95" t="s">
        <v>103</v>
      </c>
      <c r="AU4" s="96" t="s">
        <v>436</v>
      </c>
      <c r="AV4" s="95" t="s">
        <v>104</v>
      </c>
      <c r="AW4" s="96" t="s">
        <v>436</v>
      </c>
      <c r="AX4" s="95" t="s">
        <v>105</v>
      </c>
      <c r="AY4" s="95" t="s">
        <v>106</v>
      </c>
      <c r="AZ4" s="96" t="s">
        <v>436</v>
      </c>
      <c r="BA4" s="95" t="s">
        <v>361</v>
      </c>
      <c r="BB4" s="95" t="s">
        <v>107</v>
      </c>
      <c r="BC4" s="96" t="s">
        <v>436</v>
      </c>
      <c r="BD4" s="95" t="s">
        <v>108</v>
      </c>
      <c r="BE4" s="96" t="s">
        <v>436</v>
      </c>
      <c r="BF4" s="95" t="s">
        <v>109</v>
      </c>
      <c r="BG4" s="96" t="s">
        <v>436</v>
      </c>
      <c r="BH4" s="95" t="s">
        <v>110</v>
      </c>
      <c r="BI4" s="93" t="s">
        <v>419</v>
      </c>
      <c r="BJ4" s="95" t="s">
        <v>111</v>
      </c>
      <c r="BK4" s="95" t="s">
        <v>112</v>
      </c>
      <c r="BL4" s="96" t="s">
        <v>445</v>
      </c>
      <c r="BM4" s="96" t="s">
        <v>446</v>
      </c>
      <c r="BN4" s="95" t="s">
        <v>113</v>
      </c>
      <c r="BO4" s="95" t="s">
        <v>114</v>
      </c>
      <c r="BP4" s="95" t="s">
        <v>115</v>
      </c>
      <c r="BQ4" s="95" t="s">
        <v>116</v>
      </c>
      <c r="BR4" s="95" t="s">
        <v>430</v>
      </c>
      <c r="BS4" s="96" t="s">
        <v>415</v>
      </c>
      <c r="BT4" s="96" t="s">
        <v>441</v>
      </c>
      <c r="BU4" s="96" t="s">
        <v>436</v>
      </c>
      <c r="BV4" s="95" t="s">
        <v>117</v>
      </c>
      <c r="BW4" s="95" t="s">
        <v>118</v>
      </c>
      <c r="BX4" s="95" t="s">
        <v>119</v>
      </c>
      <c r="BY4" s="96" t="s">
        <v>436</v>
      </c>
      <c r="BZ4" s="95" t="s">
        <v>120</v>
      </c>
      <c r="CA4" s="96" t="s">
        <v>415</v>
      </c>
      <c r="CB4" s="96" t="s">
        <v>414</v>
      </c>
      <c r="CC4" s="95" t="s">
        <v>121</v>
      </c>
      <c r="CD4" s="95" t="s">
        <v>122</v>
      </c>
      <c r="CE4" s="96" t="s">
        <v>436</v>
      </c>
      <c r="CF4" s="95" t="s">
        <v>123</v>
      </c>
      <c r="CG4" s="95" t="s">
        <v>431</v>
      </c>
      <c r="CH4" s="95" t="s">
        <v>124</v>
      </c>
      <c r="CI4" s="95" t="s">
        <v>125</v>
      </c>
      <c r="CJ4" s="95" t="s">
        <v>126</v>
      </c>
      <c r="CK4" s="95" t="s">
        <v>127</v>
      </c>
      <c r="CL4" s="95" t="s">
        <v>128</v>
      </c>
      <c r="CM4" s="95" t="s">
        <v>129</v>
      </c>
      <c r="CN4" s="95" t="s">
        <v>130</v>
      </c>
      <c r="CO4" s="95" t="s">
        <v>205</v>
      </c>
      <c r="CP4" s="95" t="s">
        <v>432</v>
      </c>
      <c r="CQ4" s="96" t="s">
        <v>436</v>
      </c>
      <c r="CR4" s="95" t="s">
        <v>131</v>
      </c>
      <c r="CS4" s="95" t="s">
        <v>132</v>
      </c>
      <c r="CT4" s="95"/>
      <c r="CV4" s="97"/>
      <c r="CW4" s="97"/>
      <c r="CX4" s="97" t="s">
        <v>378</v>
      </c>
      <c r="CY4" s="97" t="s">
        <v>443</v>
      </c>
      <c r="CZ4" s="97"/>
    </row>
    <row r="5" spans="1:105" ht="12.75">
      <c r="A5" s="135" t="s">
        <v>229</v>
      </c>
      <c r="B5" s="46"/>
      <c r="C5" s="96" t="s">
        <v>419</v>
      </c>
      <c r="D5" s="46"/>
      <c r="E5" s="136"/>
      <c r="F5" s="136"/>
      <c r="G5" s="136"/>
      <c r="H5" s="136"/>
      <c r="I5" s="136"/>
      <c r="J5" s="46"/>
      <c r="K5" s="136"/>
      <c r="L5" s="46"/>
      <c r="M5" s="96"/>
      <c r="N5" s="96" t="s">
        <v>419</v>
      </c>
      <c r="O5" s="96" t="s">
        <v>419</v>
      </c>
      <c r="P5" s="46"/>
      <c r="Q5" s="136"/>
      <c r="R5" s="46"/>
      <c r="S5" s="96" t="s">
        <v>419</v>
      </c>
      <c r="T5" s="46"/>
      <c r="U5" s="96" t="s">
        <v>419</v>
      </c>
      <c r="V5" s="46"/>
      <c r="W5" s="96" t="s">
        <v>419</v>
      </c>
      <c r="X5" s="96" t="s">
        <v>419</v>
      </c>
      <c r="Y5" s="46"/>
      <c r="Z5" s="136"/>
      <c r="AA5" s="46"/>
      <c r="AB5" s="93" t="s">
        <v>419</v>
      </c>
      <c r="AC5" s="46"/>
      <c r="AD5" s="46"/>
      <c r="AE5" s="96" t="s">
        <v>419</v>
      </c>
      <c r="AF5" s="46"/>
      <c r="AG5" s="46"/>
      <c r="AH5" s="46"/>
      <c r="AI5" s="46"/>
      <c r="AJ5" s="96" t="s">
        <v>419</v>
      </c>
      <c r="AK5" s="46"/>
      <c r="AL5" s="96" t="s">
        <v>419</v>
      </c>
      <c r="AM5" s="46"/>
      <c r="AN5" s="96" t="s">
        <v>419</v>
      </c>
      <c r="AO5" s="46"/>
      <c r="AP5" s="96" t="s">
        <v>419</v>
      </c>
      <c r="AQ5" s="46"/>
      <c r="AR5" s="46"/>
      <c r="AS5" s="96" t="s">
        <v>419</v>
      </c>
      <c r="AT5" s="46"/>
      <c r="AU5" s="96" t="s">
        <v>419</v>
      </c>
      <c r="AV5" s="46"/>
      <c r="AW5" s="96" t="s">
        <v>419</v>
      </c>
      <c r="AX5" s="46"/>
      <c r="AY5" s="46"/>
      <c r="AZ5" s="96" t="s">
        <v>419</v>
      </c>
      <c r="BA5" s="46"/>
      <c r="BB5" s="46"/>
      <c r="BC5" s="96" t="s">
        <v>419</v>
      </c>
      <c r="BD5" s="46"/>
      <c r="BE5" s="96" t="s">
        <v>419</v>
      </c>
      <c r="BF5" s="46"/>
      <c r="BG5" s="96" t="s">
        <v>419</v>
      </c>
      <c r="BH5" s="46"/>
      <c r="BI5" s="136"/>
      <c r="BJ5" s="46"/>
      <c r="BK5" s="46"/>
      <c r="BL5" s="96"/>
      <c r="BM5" s="96"/>
      <c r="BN5" s="46"/>
      <c r="BO5" s="46"/>
      <c r="BP5" s="46"/>
      <c r="BQ5" s="46"/>
      <c r="BR5" s="46"/>
      <c r="BS5" s="96"/>
      <c r="BT5" s="96"/>
      <c r="BU5" s="96" t="s">
        <v>419</v>
      </c>
      <c r="BV5" s="46"/>
      <c r="BW5" s="46"/>
      <c r="BY5" s="96" t="s">
        <v>419</v>
      </c>
      <c r="BZ5" s="46"/>
      <c r="CA5" s="96"/>
      <c r="CB5" s="96"/>
      <c r="CC5" s="46"/>
      <c r="CD5" s="46"/>
      <c r="CE5" s="96" t="s">
        <v>419</v>
      </c>
      <c r="CF5" s="46"/>
      <c r="CG5" s="46"/>
      <c r="CH5" s="46"/>
      <c r="CI5" s="46"/>
      <c r="CJ5" s="46"/>
      <c r="CK5" s="46"/>
      <c r="CL5" s="46"/>
      <c r="CM5" s="46"/>
      <c r="CN5" s="46"/>
      <c r="CO5" s="46"/>
      <c r="CQ5" s="96" t="s">
        <v>419</v>
      </c>
      <c r="CR5" s="46"/>
      <c r="CS5" s="46"/>
      <c r="CT5" s="46"/>
      <c r="CV5" s="101"/>
      <c r="CW5" s="101"/>
      <c r="CX5" s="101"/>
      <c r="CY5" s="101"/>
      <c r="CZ5" s="56"/>
      <c r="DA5" s="56"/>
    </row>
    <row r="6" spans="1:105" ht="12.75">
      <c r="A6" s="137" t="s">
        <v>217</v>
      </c>
      <c r="B6" s="133">
        <v>2341637.107</v>
      </c>
      <c r="C6" s="138">
        <v>87467.591</v>
      </c>
      <c r="D6" s="133">
        <v>2069917</v>
      </c>
      <c r="E6" s="138">
        <v>736225</v>
      </c>
      <c r="F6" s="138">
        <v>1081989</v>
      </c>
      <c r="G6" s="138">
        <v>9493</v>
      </c>
      <c r="H6" s="138">
        <v>1426</v>
      </c>
      <c r="I6" s="138">
        <v>240783</v>
      </c>
      <c r="J6" s="133">
        <v>945109.181</v>
      </c>
      <c r="K6" s="138">
        <v>10240.956</v>
      </c>
      <c r="L6" s="133">
        <v>903685.931</v>
      </c>
      <c r="M6" s="138">
        <v>851445.106</v>
      </c>
      <c r="N6" s="138">
        <v>42015.07</v>
      </c>
      <c r="O6" s="138">
        <v>10225.755</v>
      </c>
      <c r="P6" s="133">
        <v>663705.764</v>
      </c>
      <c r="Q6" s="138">
        <v>2557.009</v>
      </c>
      <c r="R6" s="133">
        <f>361148.893+71884.328</f>
        <v>433033.22099999996</v>
      </c>
      <c r="S6" s="138"/>
      <c r="T6" s="133">
        <f>451296.577+8360.346</f>
        <v>459656.923</v>
      </c>
      <c r="U6" s="138">
        <v>7403.279</v>
      </c>
      <c r="V6" s="133">
        <v>196536.78</v>
      </c>
      <c r="W6" s="138">
        <v>72168.262</v>
      </c>
      <c r="X6" s="138">
        <f>+V6-W6</f>
        <v>124368.518</v>
      </c>
      <c r="Y6" s="133">
        <v>485851.749</v>
      </c>
      <c r="Z6" s="138">
        <v>28521.367</v>
      </c>
      <c r="AA6" s="133">
        <v>281521.556</v>
      </c>
      <c r="AB6" s="138">
        <v>44890.672</v>
      </c>
      <c r="AC6" s="133">
        <v>278804.078</v>
      </c>
      <c r="AD6" s="133">
        <v>180102.932</v>
      </c>
      <c r="AE6" s="138">
        <v>2594</v>
      </c>
      <c r="AF6" s="133">
        <v>251971</v>
      </c>
      <c r="AG6" s="133">
        <v>115101.983</v>
      </c>
      <c r="AH6" s="133">
        <v>273205.296</v>
      </c>
      <c r="AI6" s="133">
        <v>348695.667</v>
      </c>
      <c r="AJ6" s="138"/>
      <c r="AK6" s="133">
        <v>148757.719</v>
      </c>
      <c r="AL6" s="138">
        <v>1776.464</v>
      </c>
      <c r="AM6" s="133">
        <v>1330161.426</v>
      </c>
      <c r="AN6" s="138"/>
      <c r="AO6" s="133">
        <v>678249.323</v>
      </c>
      <c r="AP6" s="138"/>
      <c r="AQ6" s="133">
        <v>74432.088</v>
      </c>
      <c r="AR6" s="133">
        <v>166664.255</v>
      </c>
      <c r="AS6" s="138">
        <v>713.231</v>
      </c>
      <c r="AT6" s="133">
        <v>71037.084</v>
      </c>
      <c r="AU6" s="138">
        <v>87.265</v>
      </c>
      <c r="AV6" s="133">
        <v>586265</v>
      </c>
      <c r="AW6" s="138"/>
      <c r="AX6" s="133">
        <v>23054.49</v>
      </c>
      <c r="AY6" s="133">
        <v>197723.207</v>
      </c>
      <c r="AZ6" s="138"/>
      <c r="BA6" s="133">
        <v>112713.745</v>
      </c>
      <c r="BB6" s="133">
        <v>300424.449</v>
      </c>
      <c r="BC6" s="138">
        <f>300424.449-46448.463</f>
        <v>253975.98600000003</v>
      </c>
      <c r="BD6" s="133">
        <v>66609.978</v>
      </c>
      <c r="BE6" s="138">
        <v>444.013</v>
      </c>
      <c r="BF6" s="133">
        <f>54403.57+29196.823</f>
        <v>83600.393</v>
      </c>
      <c r="BG6" s="138"/>
      <c r="BH6" s="133">
        <f>39139.743+21040.35+20833.489</f>
        <v>81013.582</v>
      </c>
      <c r="BI6" s="138"/>
      <c r="BJ6" s="133">
        <v>144319.213</v>
      </c>
      <c r="BK6" s="133">
        <v>0</v>
      </c>
      <c r="BL6" s="138">
        <v>0</v>
      </c>
      <c r="BM6" s="138">
        <v>0</v>
      </c>
      <c r="BN6" s="133">
        <v>0</v>
      </c>
      <c r="BO6" s="133">
        <v>0</v>
      </c>
      <c r="BP6" s="133">
        <v>31142.601</v>
      </c>
      <c r="BQ6" s="133">
        <v>56283.998</v>
      </c>
      <c r="BR6" s="133">
        <v>267729.144</v>
      </c>
      <c r="BS6" s="138">
        <v>227197.668</v>
      </c>
      <c r="BT6" s="138">
        <v>28942.158</v>
      </c>
      <c r="BU6" s="138">
        <v>11589.318</v>
      </c>
      <c r="BV6" s="133">
        <v>33314.568</v>
      </c>
      <c r="BW6" s="133">
        <v>16371.041</v>
      </c>
      <c r="BX6" s="133">
        <v>98323.485</v>
      </c>
      <c r="BY6" s="138">
        <f>98323.485-32092.47</f>
        <v>66231.015</v>
      </c>
      <c r="BZ6" s="133">
        <v>32264.648</v>
      </c>
      <c r="CA6" s="138">
        <f>+BZ6-CB6</f>
        <v>11551.596000000001</v>
      </c>
      <c r="CB6" s="138">
        <v>20713.052</v>
      </c>
      <c r="CC6" s="133">
        <v>0</v>
      </c>
      <c r="CD6" s="133">
        <f>39595.401+22894.18</f>
        <v>62489.581</v>
      </c>
      <c r="CE6" s="138"/>
      <c r="CF6" s="133">
        <f>45425.644+6867.084</f>
        <v>52292.728</v>
      </c>
      <c r="CG6" s="133">
        <v>8337.74</v>
      </c>
      <c r="CH6" s="133">
        <v>0</v>
      </c>
      <c r="CI6" s="133">
        <v>0</v>
      </c>
      <c r="CJ6" s="133">
        <v>10295.381</v>
      </c>
      <c r="CK6" s="133">
        <v>0</v>
      </c>
      <c r="CL6" s="133">
        <v>0</v>
      </c>
      <c r="CM6" s="133">
        <v>2817.96</v>
      </c>
      <c r="CN6" s="133">
        <v>2033.857</v>
      </c>
      <c r="CO6" s="133">
        <v>0</v>
      </c>
      <c r="CP6" s="133">
        <v>0</v>
      </c>
      <c r="CQ6" s="138">
        <v>0</v>
      </c>
      <c r="CR6" s="133">
        <v>4639.923</v>
      </c>
      <c r="CS6" s="133">
        <v>0</v>
      </c>
      <c r="CT6" s="133"/>
      <c r="CV6" s="30">
        <f>+B6+D6+J6+L6+P6+R6+T6+V6+Y6+AA6+AC6+AD6+AF6+AG6+AH6+AI6+AK6+AM6+AO6+AQ6+AR6+AT6+AV6+AX6+AY6+BA6+BB6+BD6+BF6+BH6+BJ6+BK6+BN6+BO6+BP6+BQ6+BR6+BV6+BW6+BX6+BZ6+CC6+CD6+CF6+CG6+CH6+CI6+CJ6+CK6+CL6+CM6+CN6+CO6+CP6+CR6+CS6</f>
        <v>14971898.774999999</v>
      </c>
      <c r="CW6" s="30"/>
      <c r="CX6" s="30">
        <f>+D6+AQ6+BJ6+BN6+BR6+BW6+BZ6+CF6+CG6+CJ6+CM6+CN6+CO6+CR6</f>
        <v>2685450.723</v>
      </c>
      <c r="CY6" s="30">
        <f>+B6+J6+L6+P6+R6+T6+V6+Y6+AA6+AC6+AD6+AF6+AG6+AH6+AI6+AK6+AM6+AO6+AR6+AT6+AV6+AX6+AY6+BA6+BB6+BD6+BF6+BH6+BK6+BO6+BP6+BQ6+BV6+BX6+CC6+CD6+CH6+CI6+CK6+CL6+CP6+CS6</f>
        <v>12286448.052</v>
      </c>
      <c r="CZ6" s="133"/>
      <c r="DA6" s="30">
        <f>+CV6-CX6-CY6</f>
        <v>0</v>
      </c>
    </row>
    <row r="7" spans="1:105" ht="12.75">
      <c r="A7" s="137" t="s">
        <v>218</v>
      </c>
      <c r="B7" s="133">
        <v>3512455.661</v>
      </c>
      <c r="C7" s="138">
        <v>113552.976</v>
      </c>
      <c r="D7" s="133">
        <v>4368878</v>
      </c>
      <c r="E7" s="138">
        <v>1212166</v>
      </c>
      <c r="F7" s="138">
        <v>3110498</v>
      </c>
      <c r="G7" s="138">
        <v>14240</v>
      </c>
      <c r="H7" s="138">
        <v>2140</v>
      </c>
      <c r="I7" s="138">
        <v>29834</v>
      </c>
      <c r="J7" s="133">
        <v>1412752.634</v>
      </c>
      <c r="K7" s="138">
        <v>10450.297</v>
      </c>
      <c r="L7" s="133">
        <v>1345328.54</v>
      </c>
      <c r="M7" s="138">
        <v>1275100.029</v>
      </c>
      <c r="N7" s="138">
        <v>62146.774</v>
      </c>
      <c r="O7" s="138">
        <v>8081.737</v>
      </c>
      <c r="P7" s="133">
        <v>989782.448</v>
      </c>
      <c r="Q7" s="138">
        <v>342.889</v>
      </c>
      <c r="R7" s="133">
        <v>541723.34</v>
      </c>
      <c r="S7" s="138"/>
      <c r="T7" s="133">
        <v>677029.173</v>
      </c>
      <c r="U7" s="138">
        <v>957.067</v>
      </c>
      <c r="V7" s="133">
        <v>459369.498</v>
      </c>
      <c r="W7" s="138">
        <v>271751.546</v>
      </c>
      <c r="X7" s="138">
        <f>+V7-W7</f>
        <v>187617.95200000005</v>
      </c>
      <c r="Y7" s="133">
        <v>728777.624</v>
      </c>
      <c r="Z7" s="138">
        <v>8490.534</v>
      </c>
      <c r="AA7" s="133">
        <v>491947.592</v>
      </c>
      <c r="AB7" s="138">
        <v>137671.651</v>
      </c>
      <c r="AC7" s="133">
        <v>418206.116</v>
      </c>
      <c r="AD7" s="133">
        <v>266474.855</v>
      </c>
      <c r="AE7" s="138">
        <v>0</v>
      </c>
      <c r="AF7" s="133">
        <v>341801</v>
      </c>
      <c r="AG7" s="133">
        <v>225510.601</v>
      </c>
      <c r="AH7" s="133">
        <v>409807.943</v>
      </c>
      <c r="AI7" s="133">
        <v>522911.646</v>
      </c>
      <c r="AJ7" s="138"/>
      <c r="AK7" s="133">
        <v>223136.579</v>
      </c>
      <c r="AL7" s="138">
        <v>482.985</v>
      </c>
      <c r="AM7" s="133">
        <v>0</v>
      </c>
      <c r="AN7" s="138"/>
      <c r="AO7" s="133">
        <v>986581.757</v>
      </c>
      <c r="AP7" s="138"/>
      <c r="AQ7" s="133">
        <v>120560.627</v>
      </c>
      <c r="AR7" s="133">
        <v>249517.435</v>
      </c>
      <c r="AS7" s="138">
        <v>649.714</v>
      </c>
      <c r="AT7" s="133">
        <v>284148.334</v>
      </c>
      <c r="AU7" s="138">
        <v>0</v>
      </c>
      <c r="AV7" s="133">
        <v>902284</v>
      </c>
      <c r="AW7" s="138"/>
      <c r="AX7" s="133">
        <v>85668.792</v>
      </c>
      <c r="AY7" s="133">
        <v>272126.483</v>
      </c>
      <c r="AZ7" s="138"/>
      <c r="BA7" s="133">
        <v>169070.617</v>
      </c>
      <c r="BB7" s="133">
        <v>526835.388</v>
      </c>
      <c r="BC7" s="138">
        <f>526835.388-68926.721</f>
        <v>457908.667</v>
      </c>
      <c r="BD7" s="133">
        <v>99914.968</v>
      </c>
      <c r="BE7" s="138">
        <v>44.401</v>
      </c>
      <c r="BF7" s="133">
        <v>82367.811</v>
      </c>
      <c r="BG7" s="138"/>
      <c r="BH7" s="133">
        <v>58723.719</v>
      </c>
      <c r="BI7" s="138"/>
      <c r="BJ7" s="133">
        <v>252778.471</v>
      </c>
      <c r="BK7" s="133">
        <v>0</v>
      </c>
      <c r="BL7" s="138">
        <v>0</v>
      </c>
      <c r="BM7" s="138">
        <v>0</v>
      </c>
      <c r="BN7" s="133">
        <v>37787.659</v>
      </c>
      <c r="BO7" s="133">
        <v>0</v>
      </c>
      <c r="BP7" s="133">
        <v>46713.903</v>
      </c>
      <c r="BQ7" s="133">
        <v>84439.861</v>
      </c>
      <c r="BR7" s="133">
        <v>703002.962</v>
      </c>
      <c r="BS7" s="138">
        <v>653022.344</v>
      </c>
      <c r="BT7" s="138">
        <v>48224.319</v>
      </c>
      <c r="BU7" s="138">
        <v>1756.299</v>
      </c>
      <c r="BV7" s="133">
        <f>58215.118+2472.754</f>
        <v>60687.872</v>
      </c>
      <c r="BW7" s="133">
        <v>24556.611</v>
      </c>
      <c r="BX7" s="133">
        <v>221670.681</v>
      </c>
      <c r="BY7" s="138">
        <f>221670.681-49721.103</f>
        <v>171949.578</v>
      </c>
      <c r="BZ7" s="133">
        <v>67377.396</v>
      </c>
      <c r="CA7" s="138">
        <f>+BZ7-CB7</f>
        <v>34746.34099999999</v>
      </c>
      <c r="CB7" s="138">
        <v>32631.055</v>
      </c>
      <c r="CC7" s="133">
        <v>0</v>
      </c>
      <c r="CD7" s="133">
        <v>0</v>
      </c>
      <c r="CE7" s="138"/>
      <c r="CF7" s="133">
        <v>47007.624</v>
      </c>
      <c r="CG7" s="133">
        <v>12506.658</v>
      </c>
      <c r="CH7" s="133">
        <v>0</v>
      </c>
      <c r="CI7" s="133">
        <v>0</v>
      </c>
      <c r="CJ7" s="133">
        <v>15443.088</v>
      </c>
      <c r="CK7" s="133">
        <v>0</v>
      </c>
      <c r="CL7" s="133">
        <v>0</v>
      </c>
      <c r="CM7" s="133">
        <v>4226.901</v>
      </c>
      <c r="CN7" s="133">
        <v>3057.568</v>
      </c>
      <c r="CO7" s="133">
        <v>0</v>
      </c>
      <c r="CP7" s="133">
        <v>0</v>
      </c>
      <c r="CQ7" s="138">
        <v>0</v>
      </c>
      <c r="CR7" s="133">
        <v>6959.885</v>
      </c>
      <c r="CS7" s="133">
        <v>0</v>
      </c>
      <c r="CT7" s="133"/>
      <c r="CV7" s="30">
        <f aca="true" t="shared" si="0" ref="CV7:CV68">+B7+D7+J7+L7+P7+R7+T7+V7+Y7+AA7+AC7+AD7+AF7+AG7+AH7+AI7+AK7+AM7+AO7+AQ7+AR7+AT7+AV7+AX7+AY7+BA7+BB7+BD7+BF7+BH7+BJ7+BK7+BN7+BO7+BP7+BQ7+BR7+BV7+BW7+BX7+BZ7+CC7+CD7+CF7+CG7+CH7+CI7+CJ7+CK7+CL7+CM7+CN7+CO7+CP7+CR7+CS7</f>
        <v>22361910.321000014</v>
      </c>
      <c r="CW7" s="30"/>
      <c r="CX7" s="30">
        <f aca="true" t="shared" si="1" ref="CX7:CX68">+D7+AQ7+BJ7+BN7+BR7+BW7+BZ7+CF7+CG7+CJ7+CM7+CN7+CO7+CR7</f>
        <v>5664143.449999999</v>
      </c>
      <c r="CY7" s="30">
        <f aca="true" t="shared" si="2" ref="CY7:CY68">+B7+J7+L7+P7+R7+T7+V7+Y7+AA7+AC7+AD7+AF7+AG7+AH7+AI7+AK7+AM7+AO7+AR7+AT7+AV7+AX7+AY7+BA7+BB7+BD7+BF7+BH7+BK7+BO7+BP7+BQ7+BV7+BX7+CC7+CD7+CH7+CI7+CK7+CL7+CP7+CS7</f>
        <v>16697766.871000001</v>
      </c>
      <c r="CZ7" s="133"/>
      <c r="DA7" s="30">
        <f aca="true" t="shared" si="3" ref="DA7:DA70">+CV7-CX7-CY7</f>
        <v>0</v>
      </c>
    </row>
    <row r="8" spans="1:105" ht="12.75">
      <c r="A8" s="137" t="s">
        <v>219</v>
      </c>
      <c r="B8" s="133">
        <v>0</v>
      </c>
      <c r="C8" s="138">
        <v>0</v>
      </c>
      <c r="D8" s="133">
        <v>-3519</v>
      </c>
      <c r="E8" s="138">
        <v>-1247</v>
      </c>
      <c r="F8" s="138">
        <v>-1866</v>
      </c>
      <c r="G8" s="138">
        <v>0</v>
      </c>
      <c r="H8" s="138">
        <v>0</v>
      </c>
      <c r="I8" s="138">
        <v>-406</v>
      </c>
      <c r="J8" s="133">
        <v>-6635.294</v>
      </c>
      <c r="K8" s="138">
        <v>-179.6</v>
      </c>
      <c r="L8" s="133">
        <v>-103.395</v>
      </c>
      <c r="M8" s="138">
        <v>836.252</v>
      </c>
      <c r="N8" s="138">
        <v>-543.215</v>
      </c>
      <c r="O8" s="138">
        <v>-396.432</v>
      </c>
      <c r="P8" s="133">
        <v>7059.707</v>
      </c>
      <c r="Q8" s="138">
        <v>-185.597</v>
      </c>
      <c r="R8" s="133">
        <v>-4186.694</v>
      </c>
      <c r="S8" s="138"/>
      <c r="T8" s="133">
        <v>-18791.085</v>
      </c>
      <c r="U8" s="138">
        <v>0</v>
      </c>
      <c r="V8" s="133">
        <v>-5880.347</v>
      </c>
      <c r="W8" s="138">
        <v>-5880.347</v>
      </c>
      <c r="X8" s="138">
        <f>+V8-W8</f>
        <v>0</v>
      </c>
      <c r="Y8" s="133">
        <v>308.063</v>
      </c>
      <c r="Z8" s="138">
        <v>0</v>
      </c>
      <c r="AA8" s="133">
        <v>-3090.02</v>
      </c>
      <c r="AB8" s="138">
        <v>0</v>
      </c>
      <c r="AC8" s="133">
        <v>-5386.306</v>
      </c>
      <c r="AD8" s="133">
        <v>-2946.56</v>
      </c>
      <c r="AE8" s="138">
        <v>0</v>
      </c>
      <c r="AF8" s="133">
        <v>-19486</v>
      </c>
      <c r="AG8" s="133">
        <v>2253.316</v>
      </c>
      <c r="AH8" s="133">
        <v>-3801.43</v>
      </c>
      <c r="AI8" s="133">
        <v>7869.421</v>
      </c>
      <c r="AJ8" s="138"/>
      <c r="AK8" s="133">
        <v>-1082.951</v>
      </c>
      <c r="AL8" s="138">
        <v>-27.587</v>
      </c>
      <c r="AM8" s="133">
        <v>-87697.424</v>
      </c>
      <c r="AN8" s="138"/>
      <c r="AO8" s="133">
        <v>241364.492</v>
      </c>
      <c r="AP8" s="138"/>
      <c r="AQ8" s="133">
        <v>-249.549</v>
      </c>
      <c r="AR8" s="133">
        <v>-3469.161</v>
      </c>
      <c r="AS8" s="138">
        <v>-9.049</v>
      </c>
      <c r="AT8" s="133">
        <v>0</v>
      </c>
      <c r="AU8" s="138">
        <v>2821.016</v>
      </c>
      <c r="AV8" s="133">
        <v>-178535</v>
      </c>
      <c r="AW8" s="138"/>
      <c r="AX8" s="133">
        <v>0</v>
      </c>
      <c r="AY8" s="133">
        <v>-643.388</v>
      </c>
      <c r="AZ8" s="138"/>
      <c r="BA8" s="133">
        <v>-3123.44</v>
      </c>
      <c r="BB8" s="133">
        <v>-43974.79</v>
      </c>
      <c r="BC8" s="138">
        <v>0</v>
      </c>
      <c r="BD8" s="133">
        <v>-1186.23</v>
      </c>
      <c r="BE8" s="138">
        <v>0</v>
      </c>
      <c r="BF8" s="133">
        <v>-673.885</v>
      </c>
      <c r="BG8" s="138"/>
      <c r="BH8" s="133">
        <v>-392.181</v>
      </c>
      <c r="BI8" s="138"/>
      <c r="BJ8" s="133">
        <v>-2896.384</v>
      </c>
      <c r="BK8" s="133">
        <v>-76.902</v>
      </c>
      <c r="BL8" s="138">
        <v>-76.902</v>
      </c>
      <c r="BM8" s="138">
        <v>0</v>
      </c>
      <c r="BN8" s="133">
        <v>-174116.605</v>
      </c>
      <c r="BO8" s="133">
        <v>0</v>
      </c>
      <c r="BP8" s="133">
        <v>-393.525</v>
      </c>
      <c r="BQ8" s="133">
        <v>-2052.782</v>
      </c>
      <c r="BR8" s="133">
        <v>-125.433</v>
      </c>
      <c r="BS8" s="138">
        <v>-125.433</v>
      </c>
      <c r="BT8" s="138">
        <v>0</v>
      </c>
      <c r="BU8" s="138">
        <v>0</v>
      </c>
      <c r="BV8" s="133">
        <f>-91380.889-11595.778</f>
        <v>-102976.667</v>
      </c>
      <c r="BW8" s="133">
        <v>307.537</v>
      </c>
      <c r="BX8" s="133">
        <v>26228.261</v>
      </c>
      <c r="BY8" s="138">
        <v>26228.261</v>
      </c>
      <c r="BZ8" s="133">
        <v>0</v>
      </c>
      <c r="CA8" s="138">
        <f>+BZ8-CB8</f>
        <v>0</v>
      </c>
      <c r="CB8" s="138">
        <v>0</v>
      </c>
      <c r="CC8" s="133">
        <v>-130.574</v>
      </c>
      <c r="CD8" s="133">
        <v>-1522.571</v>
      </c>
      <c r="CE8" s="138"/>
      <c r="CF8" s="133">
        <v>76.15</v>
      </c>
      <c r="CG8" s="133">
        <v>-49.783</v>
      </c>
      <c r="CH8" s="133">
        <v>-468.552</v>
      </c>
      <c r="CI8" s="133">
        <v>-121.053</v>
      </c>
      <c r="CJ8" s="133">
        <v>-170.24</v>
      </c>
      <c r="CK8" s="133">
        <v>0</v>
      </c>
      <c r="CL8" s="133">
        <v>-6.965</v>
      </c>
      <c r="CM8" s="133">
        <v>71.957</v>
      </c>
      <c r="CN8" s="133">
        <v>0</v>
      </c>
      <c r="CO8" s="133">
        <v>0</v>
      </c>
      <c r="CP8" s="133">
        <f>-29672.291+-1134.905</f>
        <v>-30807.196</v>
      </c>
      <c r="CQ8" s="138">
        <v>-29672.291</v>
      </c>
      <c r="CR8" s="133">
        <v>0</v>
      </c>
      <c r="CS8" s="133">
        <v>0</v>
      </c>
      <c r="CT8" s="133"/>
      <c r="CV8" s="30">
        <f t="shared" si="0"/>
        <v>-425230.45800000016</v>
      </c>
      <c r="CW8" s="30"/>
      <c r="CX8" s="30">
        <f t="shared" si="1"/>
        <v>-180671.34999999998</v>
      </c>
      <c r="CY8" s="30">
        <f t="shared" si="2"/>
        <v>-244559.10800000004</v>
      </c>
      <c r="CZ8" s="133"/>
      <c r="DA8" s="30">
        <f t="shared" si="3"/>
        <v>0</v>
      </c>
    </row>
    <row r="9" spans="1:105" ht="12.75">
      <c r="A9" s="137" t="s">
        <v>220</v>
      </c>
      <c r="B9" s="133">
        <v>0</v>
      </c>
      <c r="C9" s="138"/>
      <c r="D9" s="133">
        <f>2705823+499350+7865354</f>
        <v>11070527</v>
      </c>
      <c r="E9" s="138">
        <f>2506210+499350+7847635</f>
        <v>10853195</v>
      </c>
      <c r="F9" s="138">
        <v>0</v>
      </c>
      <c r="G9" s="138">
        <f>173176+15366</f>
        <v>188542</v>
      </c>
      <c r="H9" s="138">
        <f>26437+2353</f>
        <v>28790</v>
      </c>
      <c r="I9" s="138"/>
      <c r="J9" s="133">
        <v>0</v>
      </c>
      <c r="K9" s="138"/>
      <c r="L9" s="133">
        <v>0</v>
      </c>
      <c r="M9" s="138"/>
      <c r="N9" s="138">
        <v>0</v>
      </c>
      <c r="O9" s="138"/>
      <c r="P9" s="133">
        <v>0</v>
      </c>
      <c r="Q9" s="138"/>
      <c r="R9" s="133">
        <v>0</v>
      </c>
      <c r="S9" s="138"/>
      <c r="T9" s="133">
        <v>0</v>
      </c>
      <c r="U9" s="138"/>
      <c r="V9" s="133">
        <v>0</v>
      </c>
      <c r="W9" s="138">
        <v>0</v>
      </c>
      <c r="X9" s="138">
        <f>+V9-W9</f>
        <v>0</v>
      </c>
      <c r="Y9" s="133">
        <v>0</v>
      </c>
      <c r="Z9" s="138"/>
      <c r="AA9" s="133">
        <v>0</v>
      </c>
      <c r="AB9" s="138"/>
      <c r="AC9" s="133">
        <v>0</v>
      </c>
      <c r="AD9" s="133">
        <v>0</v>
      </c>
      <c r="AE9" s="138"/>
      <c r="AF9" s="133">
        <v>0</v>
      </c>
      <c r="AG9" s="133">
        <v>0</v>
      </c>
      <c r="AH9" s="133">
        <v>0</v>
      </c>
      <c r="AI9" s="133">
        <v>0</v>
      </c>
      <c r="AJ9" s="138"/>
      <c r="AK9" s="133">
        <v>0</v>
      </c>
      <c r="AL9" s="138"/>
      <c r="AM9" s="133">
        <v>0</v>
      </c>
      <c r="AN9" s="138"/>
      <c r="AO9" s="133">
        <v>0</v>
      </c>
      <c r="AP9" s="138"/>
      <c r="AQ9" s="133">
        <f>206438.616+878187.195</f>
        <v>1084625.811</v>
      </c>
      <c r="AR9" s="133">
        <v>0</v>
      </c>
      <c r="AS9" s="138"/>
      <c r="AT9" s="133">
        <v>0</v>
      </c>
      <c r="AU9" s="138"/>
      <c r="AV9" s="133">
        <v>0</v>
      </c>
      <c r="AW9" s="138"/>
      <c r="AX9" s="133">
        <v>0</v>
      </c>
      <c r="AY9" s="133">
        <v>0</v>
      </c>
      <c r="AZ9" s="138"/>
      <c r="BA9" s="133">
        <v>0</v>
      </c>
      <c r="BB9" s="133">
        <v>0</v>
      </c>
      <c r="BC9" s="138"/>
      <c r="BD9" s="133">
        <v>0</v>
      </c>
      <c r="BE9" s="138"/>
      <c r="BF9" s="133">
        <v>0</v>
      </c>
      <c r="BG9" s="138"/>
      <c r="BH9" s="133">
        <v>0</v>
      </c>
      <c r="BI9" s="138"/>
      <c r="BJ9" s="133">
        <v>418944.127</v>
      </c>
      <c r="BK9" s="133">
        <v>22074.259</v>
      </c>
      <c r="BL9" s="138">
        <v>0</v>
      </c>
      <c r="BM9" s="138">
        <v>22074.259</v>
      </c>
      <c r="BN9" s="133">
        <v>0</v>
      </c>
      <c r="BO9" s="133">
        <v>0</v>
      </c>
      <c r="BP9" s="133">
        <v>0</v>
      </c>
      <c r="BQ9" s="133">
        <v>0</v>
      </c>
      <c r="BR9" s="133">
        <v>0</v>
      </c>
      <c r="BS9" s="138">
        <v>0</v>
      </c>
      <c r="BT9" s="138">
        <v>0</v>
      </c>
      <c r="BU9" s="138"/>
      <c r="BV9" s="133">
        <v>0</v>
      </c>
      <c r="BW9" s="133">
        <v>25122.621</v>
      </c>
      <c r="BX9" s="133">
        <v>0</v>
      </c>
      <c r="BY9" s="138"/>
      <c r="BZ9" s="133">
        <v>33605.611</v>
      </c>
      <c r="CA9" s="138">
        <f>+BZ9-CB9</f>
        <v>0</v>
      </c>
      <c r="CB9" s="138">
        <v>33605.611</v>
      </c>
      <c r="CC9" s="133">
        <v>10738.24</v>
      </c>
      <c r="CD9" s="133">
        <v>0</v>
      </c>
      <c r="CE9" s="138"/>
      <c r="CF9" s="133">
        <v>0</v>
      </c>
      <c r="CG9" s="133">
        <v>21059.587</v>
      </c>
      <c r="CH9" s="133">
        <v>0</v>
      </c>
      <c r="CI9" s="133">
        <v>0</v>
      </c>
      <c r="CJ9" s="133">
        <v>17677.969</v>
      </c>
      <c r="CK9" s="133">
        <v>2600.753</v>
      </c>
      <c r="CL9" s="133">
        <v>0</v>
      </c>
      <c r="CM9" s="133">
        <v>12260.425</v>
      </c>
      <c r="CN9" s="133">
        <v>8795.196</v>
      </c>
      <c r="CO9" s="133">
        <v>84000</v>
      </c>
      <c r="CP9" s="133">
        <v>0</v>
      </c>
      <c r="CQ9" s="138"/>
      <c r="CR9" s="133">
        <v>13816.704</v>
      </c>
      <c r="CS9" s="133">
        <v>0</v>
      </c>
      <c r="CT9" s="133"/>
      <c r="CV9" s="30">
        <f t="shared" si="0"/>
        <v>12825848.303000001</v>
      </c>
      <c r="CW9" s="30"/>
      <c r="CX9" s="30">
        <f t="shared" si="1"/>
        <v>12790435.051</v>
      </c>
      <c r="CY9" s="30">
        <f t="shared" si="2"/>
        <v>35413.25199999999</v>
      </c>
      <c r="CZ9" s="133"/>
      <c r="DA9" s="30">
        <f t="shared" si="3"/>
        <v>3.346940502524376E-10</v>
      </c>
    </row>
    <row r="10" spans="1:105" ht="5.25" customHeight="1">
      <c r="A10" s="139"/>
      <c r="CV10" s="30"/>
      <c r="CW10" s="30"/>
      <c r="CX10" s="30"/>
      <c r="CY10" s="30"/>
      <c r="DA10" s="30">
        <f t="shared" si="3"/>
        <v>0</v>
      </c>
    </row>
    <row r="11" spans="1:105" ht="12.75">
      <c r="A11" s="140" t="s">
        <v>221</v>
      </c>
      <c r="B11" s="30">
        <f aca="true" t="shared" si="4" ref="B11:BM11">SUM(B6:B9)</f>
        <v>5854092.767999999</v>
      </c>
      <c r="C11" s="103">
        <f>SUM(C6:C10)</f>
        <v>201020.56699999998</v>
      </c>
      <c r="D11" s="30">
        <f t="shared" si="4"/>
        <v>17505803</v>
      </c>
      <c r="E11" s="103">
        <f>SUM(E6:E9)-1</f>
        <v>12800338</v>
      </c>
      <c r="F11" s="103">
        <f t="shared" si="4"/>
        <v>4190621</v>
      </c>
      <c r="G11" s="103">
        <f t="shared" si="4"/>
        <v>212275</v>
      </c>
      <c r="H11" s="103">
        <f t="shared" si="4"/>
        <v>32356</v>
      </c>
      <c r="I11" s="103">
        <f>SUM(I6:I10)</f>
        <v>270211</v>
      </c>
      <c r="J11" s="30">
        <f t="shared" si="4"/>
        <v>2351226.5209999997</v>
      </c>
      <c r="K11" s="103">
        <f>SUM(K6:K10)</f>
        <v>20511.653000000002</v>
      </c>
      <c r="L11" s="30">
        <f t="shared" si="4"/>
        <v>2248911.076</v>
      </c>
      <c r="M11" s="103">
        <f t="shared" si="4"/>
        <v>2127381.387</v>
      </c>
      <c r="N11" s="103">
        <f t="shared" si="4"/>
        <v>103618.629</v>
      </c>
      <c r="O11" s="103">
        <f>SUM(O6:O10)</f>
        <v>17911.059999999998</v>
      </c>
      <c r="P11" s="30">
        <f t="shared" si="4"/>
        <v>1660547.9189999998</v>
      </c>
      <c r="Q11" s="103">
        <f>SUM(Q6:Q10)</f>
        <v>2714.301</v>
      </c>
      <c r="R11" s="30">
        <f t="shared" si="4"/>
        <v>970569.867</v>
      </c>
      <c r="S11" s="103">
        <v>71884.328</v>
      </c>
      <c r="T11" s="30">
        <f t="shared" si="4"/>
        <v>1117895.011</v>
      </c>
      <c r="U11" s="103">
        <f>SUM(U6:U10)</f>
        <v>8360.346000000001</v>
      </c>
      <c r="V11" s="30">
        <f t="shared" si="4"/>
        <v>650025.9310000001</v>
      </c>
      <c r="W11" s="103">
        <f t="shared" si="4"/>
        <v>338039.46099999995</v>
      </c>
      <c r="X11" s="103">
        <f t="shared" si="4"/>
        <v>311986.47000000003</v>
      </c>
      <c r="Y11" s="30">
        <f>SUM(Y6:Y9)</f>
        <v>1214937.436</v>
      </c>
      <c r="Z11" s="103">
        <f>SUM(Z6:Z10)</f>
        <v>37011.901</v>
      </c>
      <c r="AA11" s="30">
        <f t="shared" si="4"/>
        <v>770379.128</v>
      </c>
      <c r="AB11" s="103">
        <f>SUM(AB6:AB10)</f>
        <v>182562.323</v>
      </c>
      <c r="AC11" s="30">
        <f t="shared" si="4"/>
        <v>691623.8879999999</v>
      </c>
      <c r="AD11" s="30">
        <f t="shared" si="4"/>
        <v>443631.227</v>
      </c>
      <c r="AE11" s="103">
        <f>SUM(AE6:AE10)</f>
        <v>2594</v>
      </c>
      <c r="AF11" s="30">
        <f>SUM(AF6:AF9)</f>
        <v>574286</v>
      </c>
      <c r="AG11" s="30">
        <f t="shared" si="4"/>
        <v>342865.89999999997</v>
      </c>
      <c r="AH11" s="30">
        <f>SUM(AH6:AH9)</f>
        <v>679211.809</v>
      </c>
      <c r="AI11" s="30">
        <f t="shared" si="4"/>
        <v>879476.734</v>
      </c>
      <c r="AJ11" s="103">
        <v>52333.729</v>
      </c>
      <c r="AK11" s="30">
        <f t="shared" si="4"/>
        <v>370811.347</v>
      </c>
      <c r="AL11" s="103">
        <f>SUM(AL6:AL10)</f>
        <v>2231.862</v>
      </c>
      <c r="AM11" s="30">
        <f t="shared" si="4"/>
        <v>1242464.0019999999</v>
      </c>
      <c r="AN11" s="103">
        <v>883453</v>
      </c>
      <c r="AO11" s="30">
        <f>SUM(AO6:AO9)</f>
        <v>1906195.5720000002</v>
      </c>
      <c r="AP11" s="103">
        <v>1382403</v>
      </c>
      <c r="AQ11" s="30">
        <f>SUM(AQ6:AQ9)</f>
        <v>1279368.977</v>
      </c>
      <c r="AR11" s="30">
        <f t="shared" si="4"/>
        <v>412712.529</v>
      </c>
      <c r="AS11" s="103">
        <f>SUM(AS6:AS10)</f>
        <v>1353.8960000000002</v>
      </c>
      <c r="AT11" s="30">
        <f t="shared" si="4"/>
        <v>355185.41799999995</v>
      </c>
      <c r="AU11" s="103">
        <f>SUM(AU6:AU10)</f>
        <v>2908.281</v>
      </c>
      <c r="AV11" s="30">
        <f>SUM(AV6:AV9)</f>
        <v>1310014</v>
      </c>
      <c r="AW11" s="103">
        <v>993248</v>
      </c>
      <c r="AX11" s="30">
        <f t="shared" si="4"/>
        <v>108723.282</v>
      </c>
      <c r="AY11" s="30">
        <f t="shared" si="4"/>
        <v>469206.302</v>
      </c>
      <c r="AZ11" s="103">
        <v>154839.931</v>
      </c>
      <c r="BA11" s="30">
        <f t="shared" si="4"/>
        <v>278660.92199999996</v>
      </c>
      <c r="BB11" s="30">
        <f t="shared" si="4"/>
        <v>783285.047</v>
      </c>
      <c r="BC11" s="103">
        <f>SUM(BC6:BC10)</f>
        <v>711884.653</v>
      </c>
      <c r="BD11" s="30">
        <f t="shared" si="4"/>
        <v>165338.716</v>
      </c>
      <c r="BE11" s="103">
        <f>SUM(BE6:BE10)</f>
        <v>488.414</v>
      </c>
      <c r="BF11" s="30">
        <f>SUM(BF6:BF9)</f>
        <v>165294.319</v>
      </c>
      <c r="BG11" s="103">
        <v>29196.823</v>
      </c>
      <c r="BH11" s="30">
        <f>SUM(BH6:BH9)</f>
        <v>139345.11999999997</v>
      </c>
      <c r="BI11" s="103">
        <v>21040.35</v>
      </c>
      <c r="BJ11" s="30">
        <f t="shared" si="4"/>
        <v>813145.4269999999</v>
      </c>
      <c r="BK11" s="30">
        <f t="shared" si="4"/>
        <v>21997.357</v>
      </c>
      <c r="BL11" s="103">
        <f t="shared" si="4"/>
        <v>-76.902</v>
      </c>
      <c r="BM11" s="103">
        <f t="shared" si="4"/>
        <v>22074.259</v>
      </c>
      <c r="BN11" s="30">
        <f aca="true" t="shared" si="5" ref="BN11:CR11">SUM(BN6:BN9)</f>
        <v>-136328.946</v>
      </c>
      <c r="BO11" s="30">
        <f>SUM(BO6:BO9)</f>
        <v>0</v>
      </c>
      <c r="BP11" s="30">
        <f t="shared" si="5"/>
        <v>77462.979</v>
      </c>
      <c r="BQ11" s="30">
        <f t="shared" si="5"/>
        <v>138671.077</v>
      </c>
      <c r="BR11" s="30">
        <f>SUM(BR6:BR9)</f>
        <v>970606.6730000001</v>
      </c>
      <c r="BS11" s="103">
        <f>SUM(BS6:BS9)</f>
        <v>880094.5790000001</v>
      </c>
      <c r="BT11" s="103">
        <f>SUM(BT6:BT9)</f>
        <v>77166.477</v>
      </c>
      <c r="BU11" s="103">
        <f>SUM(BU6:BU10)</f>
        <v>13345.616999999998</v>
      </c>
      <c r="BV11" s="30">
        <f>SUM(BV6:BV9)</f>
        <v>-8974.226999999999</v>
      </c>
      <c r="BW11" s="30">
        <f t="shared" si="5"/>
        <v>66357.81</v>
      </c>
      <c r="BX11" s="30">
        <f>SUM(BX6:BX9)</f>
        <v>346222.427</v>
      </c>
      <c r="BY11" s="103">
        <f>SUM(BY6:BY10)</f>
        <v>264408.854</v>
      </c>
      <c r="BZ11" s="30">
        <f>SUM(BZ6:BZ9)</f>
        <v>133247.655</v>
      </c>
      <c r="CA11" s="103">
        <f>SUM(CA6:CA9)</f>
        <v>46297.93699999999</v>
      </c>
      <c r="CB11" s="103">
        <f>SUM(CB6:CB9)</f>
        <v>86949.718</v>
      </c>
      <c r="CC11" s="30">
        <f t="shared" si="5"/>
        <v>10607.666</v>
      </c>
      <c r="CD11" s="30">
        <f t="shared" si="5"/>
        <v>60967.009999999995</v>
      </c>
      <c r="CE11" s="103">
        <v>38072.83</v>
      </c>
      <c r="CF11" s="30">
        <f t="shared" si="5"/>
        <v>99376.50200000001</v>
      </c>
      <c r="CG11" s="30">
        <f t="shared" si="5"/>
        <v>41854.202000000005</v>
      </c>
      <c r="CH11" s="30">
        <f t="shared" si="5"/>
        <v>-468.552</v>
      </c>
      <c r="CI11" s="30">
        <f t="shared" si="5"/>
        <v>-121.053</v>
      </c>
      <c r="CJ11" s="30">
        <f>SUM(CJ6:CJ9)</f>
        <v>43246.198</v>
      </c>
      <c r="CK11" s="30">
        <f t="shared" si="5"/>
        <v>2600.753</v>
      </c>
      <c r="CL11" s="30">
        <f t="shared" si="5"/>
        <v>-6.965</v>
      </c>
      <c r="CM11" s="30">
        <f t="shared" si="5"/>
        <v>19377.243</v>
      </c>
      <c r="CN11" s="30">
        <f t="shared" si="5"/>
        <v>13886.621</v>
      </c>
      <c r="CO11" s="30">
        <f t="shared" si="5"/>
        <v>84000</v>
      </c>
      <c r="CP11" s="30">
        <f>SUM(CP6:CP9)</f>
        <v>-30807.196</v>
      </c>
      <c r="CQ11" s="103">
        <f>SUM(CQ6:CQ10)</f>
        <v>-29672.291</v>
      </c>
      <c r="CR11" s="30">
        <f t="shared" si="5"/>
        <v>25416.512000000002</v>
      </c>
      <c r="CS11" s="30">
        <f>SUM(CS6:CS9)</f>
        <v>0</v>
      </c>
      <c r="CT11" s="30"/>
      <c r="CV11" s="30">
        <f t="shared" si="0"/>
        <v>49734426.94099996</v>
      </c>
      <c r="CW11" s="30"/>
      <c r="CX11" s="30">
        <f t="shared" si="1"/>
        <v>20959357.873999998</v>
      </c>
      <c r="CY11" s="30">
        <f t="shared" si="2"/>
        <v>28775069.066999998</v>
      </c>
      <c r="CZ11" s="30"/>
      <c r="DA11" s="30">
        <f t="shared" si="3"/>
        <v>-3.3527612686157227E-08</v>
      </c>
    </row>
    <row r="12" spans="1:105" ht="8.25" customHeight="1">
      <c r="A12" s="135"/>
      <c r="CV12" s="30"/>
      <c r="CW12" s="30"/>
      <c r="CX12" s="30"/>
      <c r="CY12" s="30"/>
      <c r="DA12" s="30">
        <f t="shared" si="3"/>
        <v>0</v>
      </c>
    </row>
    <row r="13" spans="1:105" ht="12.75">
      <c r="A13" s="135" t="s">
        <v>230</v>
      </c>
      <c r="CV13" s="30"/>
      <c r="CW13" s="30"/>
      <c r="CX13" s="30"/>
      <c r="CY13" s="30"/>
      <c r="DA13" s="30">
        <f t="shared" si="3"/>
        <v>0</v>
      </c>
    </row>
    <row r="14" spans="1:105" ht="12.75">
      <c r="A14" s="137" t="s">
        <v>216</v>
      </c>
      <c r="B14" s="133">
        <v>1565375.674</v>
      </c>
      <c r="C14" s="138">
        <v>6145.27</v>
      </c>
      <c r="D14" s="133">
        <v>6333288</v>
      </c>
      <c r="E14" s="138">
        <v>6114501</v>
      </c>
      <c r="F14" s="138">
        <v>11433</v>
      </c>
      <c r="G14" s="138">
        <v>180309</v>
      </c>
      <c r="H14" s="138">
        <v>26437</v>
      </c>
      <c r="I14" s="138">
        <v>607</v>
      </c>
      <c r="J14" s="133">
        <v>1538153.711</v>
      </c>
      <c r="K14" s="138">
        <v>1862.675</v>
      </c>
      <c r="L14" s="133">
        <v>1045256.905</v>
      </c>
      <c r="M14" s="138">
        <v>1043620.953</v>
      </c>
      <c r="N14" s="138">
        <v>0</v>
      </c>
      <c r="O14" s="138">
        <v>1636</v>
      </c>
      <c r="P14" s="133">
        <v>869050.99</v>
      </c>
      <c r="Q14" s="138">
        <v>0</v>
      </c>
      <c r="R14" s="133">
        <v>505582.872</v>
      </c>
      <c r="S14" s="138">
        <v>0</v>
      </c>
      <c r="T14" s="133">
        <v>170399.449</v>
      </c>
      <c r="U14" s="138">
        <v>0</v>
      </c>
      <c r="V14" s="133">
        <v>449000.636</v>
      </c>
      <c r="W14" s="138">
        <v>437515.737</v>
      </c>
      <c r="X14" s="138">
        <f>+V14-W14</f>
        <v>11484.898999999976</v>
      </c>
      <c r="Y14" s="133">
        <v>149276.684</v>
      </c>
      <c r="Z14" s="138">
        <v>0</v>
      </c>
      <c r="AA14" s="133">
        <v>642564.226</v>
      </c>
      <c r="AB14" s="138">
        <v>5905.043</v>
      </c>
      <c r="AC14" s="133">
        <v>276405.211</v>
      </c>
      <c r="AD14" s="133">
        <v>255616.533</v>
      </c>
      <c r="AE14" s="138">
        <v>0</v>
      </c>
      <c r="AF14" s="133">
        <v>171016</v>
      </c>
      <c r="AG14" s="133">
        <v>546006.781</v>
      </c>
      <c r="AH14" s="133">
        <v>367166.954</v>
      </c>
      <c r="AI14" s="133">
        <f>110332.364+4800.241</f>
        <v>115132.605</v>
      </c>
      <c r="AJ14" s="138">
        <v>0</v>
      </c>
      <c r="AK14" s="133">
        <v>220656.702</v>
      </c>
      <c r="AL14" s="138">
        <v>0</v>
      </c>
      <c r="AM14" s="133">
        <v>87993.002</v>
      </c>
      <c r="AN14" s="138"/>
      <c r="AO14" s="133">
        <v>69320.025</v>
      </c>
      <c r="AP14" s="138"/>
      <c r="AQ14" s="133">
        <v>426240.619</v>
      </c>
      <c r="AR14" s="133">
        <v>229315.616</v>
      </c>
      <c r="AS14" s="138">
        <v>0</v>
      </c>
      <c r="AT14" s="133">
        <v>203728.866</v>
      </c>
      <c r="AU14" s="138">
        <v>0</v>
      </c>
      <c r="AV14" s="133">
        <v>79447</v>
      </c>
      <c r="AW14" s="138">
        <v>78998</v>
      </c>
      <c r="AX14" s="133">
        <v>177790.261</v>
      </c>
      <c r="AY14" s="133">
        <v>32331.065</v>
      </c>
      <c r="AZ14" s="138"/>
      <c r="BA14" s="133">
        <v>119670.893</v>
      </c>
      <c r="BB14" s="133">
        <v>59757.555</v>
      </c>
      <c r="BC14" s="138">
        <v>59757.555</v>
      </c>
      <c r="BD14" s="133">
        <v>129304.098</v>
      </c>
      <c r="BE14" s="138">
        <v>0</v>
      </c>
      <c r="BF14" s="133">
        <v>64679.245</v>
      </c>
      <c r="BG14" s="138"/>
      <c r="BH14" s="133">
        <v>118597.584</v>
      </c>
      <c r="BI14" s="138"/>
      <c r="BJ14" s="133">
        <v>924733.296</v>
      </c>
      <c r="BK14" s="133">
        <v>131250.502</v>
      </c>
      <c r="BL14" s="138">
        <v>103337.534</v>
      </c>
      <c r="BM14" s="138">
        <v>27912.968</v>
      </c>
      <c r="BN14" s="133">
        <v>52424.349</v>
      </c>
      <c r="BO14" s="133">
        <v>75781.211</v>
      </c>
      <c r="BP14" s="133">
        <v>35737.152</v>
      </c>
      <c r="BQ14" s="133">
        <v>36689.796</v>
      </c>
      <c r="BR14" s="133">
        <v>354.959</v>
      </c>
      <c r="BS14" s="138">
        <v>354.959</v>
      </c>
      <c r="BT14" s="138">
        <v>0</v>
      </c>
      <c r="BU14" s="138">
        <v>0</v>
      </c>
      <c r="BV14" s="133">
        <v>26237.056</v>
      </c>
      <c r="BW14" s="133">
        <v>53452.387</v>
      </c>
      <c r="BX14" s="133">
        <v>9230.738</v>
      </c>
      <c r="BY14" s="138">
        <v>9230.738</v>
      </c>
      <c r="BZ14" s="133">
        <f>40851.423+33605.611</f>
        <v>74457.034</v>
      </c>
      <c r="CA14" s="138">
        <f>+BZ14-CB14</f>
        <v>0</v>
      </c>
      <c r="CB14" s="138">
        <v>74457.034</v>
      </c>
      <c r="CC14" s="133">
        <v>64317.455</v>
      </c>
      <c r="CD14" s="133">
        <v>13434.936</v>
      </c>
      <c r="CE14" s="138"/>
      <c r="CF14" s="133">
        <v>103017.043</v>
      </c>
      <c r="CG14" s="133">
        <v>60197.874</v>
      </c>
      <c r="CH14" s="133">
        <v>42158.69</v>
      </c>
      <c r="CI14" s="133">
        <v>33354.266</v>
      </c>
      <c r="CJ14" s="133">
        <v>40842.882</v>
      </c>
      <c r="CK14" s="133">
        <v>36249.22</v>
      </c>
      <c r="CL14" s="133">
        <v>33545.639</v>
      </c>
      <c r="CM14" s="133">
        <v>22800.509</v>
      </c>
      <c r="CN14" s="133">
        <v>18239.54</v>
      </c>
      <c r="CO14" s="133">
        <v>116567.437</v>
      </c>
      <c r="CP14" s="133">
        <v>0</v>
      </c>
      <c r="CQ14" s="138">
        <v>1134.906</v>
      </c>
      <c r="CR14" s="133">
        <v>40899.864</v>
      </c>
      <c r="CS14" s="133">
        <v>1414.696</v>
      </c>
      <c r="CT14" s="133"/>
      <c r="CV14" s="30">
        <f t="shared" si="0"/>
        <v>19065514.292999994</v>
      </c>
      <c r="CW14" s="30"/>
      <c r="CX14" s="30">
        <f t="shared" si="1"/>
        <v>8267515.793</v>
      </c>
      <c r="CY14" s="30">
        <f t="shared" si="2"/>
        <v>10797998.500000002</v>
      </c>
      <c r="CZ14" s="133"/>
      <c r="DA14" s="30">
        <f t="shared" si="3"/>
        <v>0</v>
      </c>
    </row>
    <row r="15" spans="1:105" ht="12.75">
      <c r="A15" s="137" t="s">
        <v>215</v>
      </c>
      <c r="B15" s="133">
        <v>-4954.508</v>
      </c>
      <c r="C15" s="138"/>
      <c r="D15" s="133">
        <v>0</v>
      </c>
      <c r="E15" s="138">
        <v>0</v>
      </c>
      <c r="F15" s="138">
        <v>0</v>
      </c>
      <c r="G15" s="138">
        <v>0</v>
      </c>
      <c r="H15" s="138">
        <v>0</v>
      </c>
      <c r="I15" s="138"/>
      <c r="J15" s="133">
        <v>-58805.761</v>
      </c>
      <c r="K15" s="138"/>
      <c r="L15" s="133">
        <v>-16110.272</v>
      </c>
      <c r="M15" s="138">
        <v>-16110.272</v>
      </c>
      <c r="N15" s="138">
        <v>0</v>
      </c>
      <c r="O15" s="138"/>
      <c r="P15" s="133">
        <v>-958.874</v>
      </c>
      <c r="Q15" s="138"/>
      <c r="R15" s="133">
        <v>-15708.206</v>
      </c>
      <c r="S15" s="138"/>
      <c r="T15" s="133">
        <v>0</v>
      </c>
      <c r="U15" s="138"/>
      <c r="V15" s="133">
        <v>0</v>
      </c>
      <c r="W15" s="138">
        <v>0</v>
      </c>
      <c r="X15" s="138">
        <f>+V15-W15</f>
        <v>0</v>
      </c>
      <c r="Y15" s="133">
        <v>-547.111</v>
      </c>
      <c r="Z15" s="138"/>
      <c r="AA15" s="133">
        <v>-6595.501</v>
      </c>
      <c r="AB15" s="138"/>
      <c r="AC15" s="133">
        <v>-6959.292</v>
      </c>
      <c r="AD15" s="133">
        <v>-7269.743</v>
      </c>
      <c r="AE15" s="138"/>
      <c r="AF15" s="133">
        <v>0</v>
      </c>
      <c r="AG15" s="133">
        <v>-82806.184</v>
      </c>
      <c r="AH15" s="133">
        <v>-11637.626</v>
      </c>
      <c r="AI15" s="133">
        <v>0</v>
      </c>
      <c r="AJ15" s="138"/>
      <c r="AK15" s="133">
        <v>-3160.925</v>
      </c>
      <c r="AL15" s="138"/>
      <c r="AM15" s="133">
        <v>0</v>
      </c>
      <c r="AN15" s="138"/>
      <c r="AO15" s="133">
        <v>0</v>
      </c>
      <c r="AP15" s="138"/>
      <c r="AQ15" s="133">
        <v>0</v>
      </c>
      <c r="AR15" s="133">
        <v>-8145.349</v>
      </c>
      <c r="AS15" s="138"/>
      <c r="AT15" s="133">
        <v>0</v>
      </c>
      <c r="AU15" s="138"/>
      <c r="AV15" s="133">
        <v>0</v>
      </c>
      <c r="AW15" s="138"/>
      <c r="AX15" s="133">
        <v>0</v>
      </c>
      <c r="AY15" s="133">
        <v>0</v>
      </c>
      <c r="AZ15" s="138"/>
      <c r="BA15" s="133">
        <v>-3368.658</v>
      </c>
      <c r="BB15" s="133">
        <v>0</v>
      </c>
      <c r="BC15" s="138"/>
      <c r="BD15" s="133">
        <v>-5297.527</v>
      </c>
      <c r="BE15" s="138"/>
      <c r="BF15" s="133">
        <v>-35.319</v>
      </c>
      <c r="BG15" s="138"/>
      <c r="BH15" s="133">
        <v>-541.695</v>
      </c>
      <c r="BI15" s="138"/>
      <c r="BJ15" s="133">
        <v>0</v>
      </c>
      <c r="BK15" s="133">
        <v>0</v>
      </c>
      <c r="BL15" s="138">
        <v>0</v>
      </c>
      <c r="BM15" s="138">
        <v>0</v>
      </c>
      <c r="BN15" s="133">
        <v>0</v>
      </c>
      <c r="BO15" s="133">
        <v>0</v>
      </c>
      <c r="BP15" s="133">
        <v>-1162.846</v>
      </c>
      <c r="BQ15" s="133">
        <v>-403.944</v>
      </c>
      <c r="BR15" s="133">
        <v>0</v>
      </c>
      <c r="BS15" s="138">
        <v>0</v>
      </c>
      <c r="BT15" s="138">
        <v>0</v>
      </c>
      <c r="BU15" s="138"/>
      <c r="BV15" s="133">
        <v>0</v>
      </c>
      <c r="BW15" s="133">
        <v>0</v>
      </c>
      <c r="BX15" s="133">
        <v>0</v>
      </c>
      <c r="BY15" s="138"/>
      <c r="BZ15" s="133">
        <v>0</v>
      </c>
      <c r="CA15" s="138">
        <f>+BZ15-CB15</f>
        <v>0</v>
      </c>
      <c r="CB15" s="138">
        <v>0</v>
      </c>
      <c r="CC15" s="133">
        <v>-347.071</v>
      </c>
      <c r="CD15" s="133">
        <v>0</v>
      </c>
      <c r="CE15" s="138"/>
      <c r="CF15" s="133">
        <v>0</v>
      </c>
      <c r="CG15" s="133">
        <v>0</v>
      </c>
      <c r="CH15" s="133">
        <v>-468.986</v>
      </c>
      <c r="CI15" s="133">
        <v>1.343</v>
      </c>
      <c r="CJ15" s="133">
        <v>0</v>
      </c>
      <c r="CK15" s="133">
        <v>-1045.295</v>
      </c>
      <c r="CL15" s="133">
        <v>0</v>
      </c>
      <c r="CM15" s="133">
        <v>0</v>
      </c>
      <c r="CN15" s="133">
        <v>0</v>
      </c>
      <c r="CO15" s="133">
        <v>0</v>
      </c>
      <c r="CP15" s="133">
        <v>0</v>
      </c>
      <c r="CQ15" s="138"/>
      <c r="CR15" s="133">
        <v>0</v>
      </c>
      <c r="CS15" s="133">
        <v>0</v>
      </c>
      <c r="CT15" s="133"/>
      <c r="CV15" s="30">
        <f t="shared" si="0"/>
        <v>-236329.34999999995</v>
      </c>
      <c r="CW15" s="30"/>
      <c r="CX15" s="30">
        <f t="shared" si="1"/>
        <v>0</v>
      </c>
      <c r="CY15" s="30">
        <f t="shared" si="2"/>
        <v>-236329.34999999995</v>
      </c>
      <c r="CZ15" s="133"/>
      <c r="DA15" s="30">
        <f t="shared" si="3"/>
        <v>0</v>
      </c>
    </row>
    <row r="16" spans="1:105" ht="12.75">
      <c r="A16" s="137" t="s">
        <v>214</v>
      </c>
      <c r="B16" s="133">
        <v>1444.362</v>
      </c>
      <c r="C16" s="138"/>
      <c r="D16" s="133">
        <v>1607</v>
      </c>
      <c r="E16" s="138">
        <v>1557</v>
      </c>
      <c r="F16" s="138">
        <v>49</v>
      </c>
      <c r="G16" s="138">
        <v>0</v>
      </c>
      <c r="H16" s="138">
        <v>0</v>
      </c>
      <c r="I16" s="138"/>
      <c r="J16" s="133">
        <v>6896.301</v>
      </c>
      <c r="K16" s="138"/>
      <c r="L16" s="133">
        <v>2134.06</v>
      </c>
      <c r="M16" s="138">
        <v>2134.06</v>
      </c>
      <c r="N16" s="138">
        <v>0</v>
      </c>
      <c r="O16" s="138"/>
      <c r="P16" s="133">
        <v>1308.185</v>
      </c>
      <c r="Q16" s="138"/>
      <c r="R16" s="133">
        <v>2175.538</v>
      </c>
      <c r="S16" s="138"/>
      <c r="T16" s="133">
        <v>329.891</v>
      </c>
      <c r="U16" s="138"/>
      <c r="V16" s="133">
        <v>0</v>
      </c>
      <c r="W16" s="138">
        <v>0</v>
      </c>
      <c r="X16" s="138">
        <f>+V16-W16</f>
        <v>0</v>
      </c>
      <c r="Y16" s="133">
        <v>976.717</v>
      </c>
      <c r="Z16" s="138"/>
      <c r="AA16" s="133">
        <v>0</v>
      </c>
      <c r="AB16" s="138"/>
      <c r="AC16" s="133">
        <v>530.632</v>
      </c>
      <c r="AD16" s="133">
        <v>965.34</v>
      </c>
      <c r="AE16" s="138"/>
      <c r="AF16" s="133">
        <v>0</v>
      </c>
      <c r="AG16" s="133">
        <v>525.745</v>
      </c>
      <c r="AH16" s="133">
        <v>1785.318</v>
      </c>
      <c r="AI16" s="133">
        <v>102</v>
      </c>
      <c r="AJ16" s="138"/>
      <c r="AK16" s="133">
        <v>322.887</v>
      </c>
      <c r="AL16" s="138"/>
      <c r="AM16" s="133">
        <v>0</v>
      </c>
      <c r="AN16" s="138"/>
      <c r="AO16" s="133">
        <v>0</v>
      </c>
      <c r="AP16" s="138"/>
      <c r="AQ16" s="133">
        <v>121.856</v>
      </c>
      <c r="AR16" s="133">
        <v>1092.998</v>
      </c>
      <c r="AS16" s="138"/>
      <c r="AT16" s="133">
        <v>0</v>
      </c>
      <c r="AU16" s="138"/>
      <c r="AV16" s="133">
        <v>0</v>
      </c>
      <c r="AW16" s="138"/>
      <c r="AX16" s="133">
        <v>0</v>
      </c>
      <c r="AY16" s="133">
        <v>0</v>
      </c>
      <c r="AZ16" s="138"/>
      <c r="BA16" s="133">
        <v>0</v>
      </c>
      <c r="BB16" s="133">
        <v>0</v>
      </c>
      <c r="BC16" s="138"/>
      <c r="BD16" s="133">
        <v>182.859</v>
      </c>
      <c r="BE16" s="138"/>
      <c r="BF16" s="133">
        <v>0</v>
      </c>
      <c r="BG16" s="138"/>
      <c r="BH16" s="133">
        <v>0</v>
      </c>
      <c r="BI16" s="138"/>
      <c r="BJ16" s="133">
        <v>0</v>
      </c>
      <c r="BK16" s="133">
        <v>0</v>
      </c>
      <c r="BL16" s="138">
        <v>0</v>
      </c>
      <c r="BM16" s="138">
        <v>0</v>
      </c>
      <c r="BN16" s="133">
        <v>0</v>
      </c>
      <c r="BO16" s="133">
        <v>0</v>
      </c>
      <c r="BP16" s="133">
        <v>0</v>
      </c>
      <c r="BQ16" s="133">
        <v>57.257</v>
      </c>
      <c r="BR16" s="133">
        <v>0</v>
      </c>
      <c r="BS16" s="138">
        <v>0</v>
      </c>
      <c r="BT16" s="138">
        <v>0</v>
      </c>
      <c r="BU16" s="138"/>
      <c r="BV16" s="133">
        <v>17.213</v>
      </c>
      <c r="BW16" s="133">
        <v>0</v>
      </c>
      <c r="BX16" s="133">
        <v>0</v>
      </c>
      <c r="BY16" s="138"/>
      <c r="BZ16" s="133">
        <v>0</v>
      </c>
      <c r="CA16" s="138">
        <f>+BZ16-CB16</f>
        <v>0</v>
      </c>
      <c r="CB16" s="138">
        <v>0</v>
      </c>
      <c r="CC16" s="133">
        <v>5.991</v>
      </c>
      <c r="CD16" s="133">
        <v>0</v>
      </c>
      <c r="CE16" s="138"/>
      <c r="CF16" s="133">
        <v>0</v>
      </c>
      <c r="CG16" s="133">
        <v>0</v>
      </c>
      <c r="CH16" s="133">
        <v>0</v>
      </c>
      <c r="CI16" s="133">
        <v>0</v>
      </c>
      <c r="CJ16" s="133">
        <v>23.636</v>
      </c>
      <c r="CK16" s="133">
        <v>0</v>
      </c>
      <c r="CL16" s="133">
        <v>0</v>
      </c>
      <c r="CM16" s="133">
        <v>3.994</v>
      </c>
      <c r="CN16" s="133">
        <v>0</v>
      </c>
      <c r="CO16" s="133">
        <v>0</v>
      </c>
      <c r="CP16" s="133">
        <v>0</v>
      </c>
      <c r="CQ16" s="138"/>
      <c r="CR16" s="133">
        <v>0</v>
      </c>
      <c r="CS16" s="133">
        <v>0</v>
      </c>
      <c r="CT16" s="133"/>
      <c r="CV16" s="30">
        <f t="shared" si="0"/>
        <v>22609.78</v>
      </c>
      <c r="CW16" s="30"/>
      <c r="CX16" s="30">
        <f t="shared" si="1"/>
        <v>1756.4859999999999</v>
      </c>
      <c r="CY16" s="30">
        <f t="shared" si="2"/>
        <v>20853.293999999998</v>
      </c>
      <c r="CZ16" s="133"/>
      <c r="DA16" s="30">
        <f t="shared" si="3"/>
        <v>0</v>
      </c>
    </row>
    <row r="17" spans="1:105" ht="12.75">
      <c r="A17" s="137" t="s">
        <v>328</v>
      </c>
      <c r="B17" s="133">
        <v>0</v>
      </c>
      <c r="C17" s="138"/>
      <c r="D17" s="133">
        <v>0</v>
      </c>
      <c r="E17" s="138">
        <v>0</v>
      </c>
      <c r="F17" s="138">
        <v>0</v>
      </c>
      <c r="G17" s="138">
        <v>0</v>
      </c>
      <c r="H17" s="138">
        <v>0</v>
      </c>
      <c r="I17" s="138"/>
      <c r="J17" s="133">
        <v>0</v>
      </c>
      <c r="K17" s="138"/>
      <c r="L17" s="133">
        <v>0</v>
      </c>
      <c r="M17" s="138">
        <v>0</v>
      </c>
      <c r="N17" s="138">
        <v>0</v>
      </c>
      <c r="O17" s="138"/>
      <c r="P17" s="133">
        <v>0</v>
      </c>
      <c r="Q17" s="138"/>
      <c r="R17" s="133">
        <v>0</v>
      </c>
      <c r="S17" s="138"/>
      <c r="T17" s="133">
        <v>0</v>
      </c>
      <c r="U17" s="138"/>
      <c r="V17" s="133">
        <v>0</v>
      </c>
      <c r="W17" s="138">
        <v>0</v>
      </c>
      <c r="X17" s="138">
        <f>+V17-W17</f>
        <v>0</v>
      </c>
      <c r="Y17" s="133">
        <v>0</v>
      </c>
      <c r="Z17" s="138"/>
      <c r="AA17" s="133">
        <v>0</v>
      </c>
      <c r="AB17" s="138"/>
      <c r="AC17" s="133">
        <v>0</v>
      </c>
      <c r="AD17" s="133">
        <v>0</v>
      </c>
      <c r="AE17" s="138"/>
      <c r="AF17" s="133">
        <v>0</v>
      </c>
      <c r="AG17" s="133">
        <v>0</v>
      </c>
      <c r="AH17" s="133">
        <v>0</v>
      </c>
      <c r="AI17" s="133">
        <v>0</v>
      </c>
      <c r="AJ17" s="138"/>
      <c r="AK17" s="133">
        <v>0</v>
      </c>
      <c r="AL17" s="138"/>
      <c r="AM17" s="133">
        <v>0</v>
      </c>
      <c r="AN17" s="138"/>
      <c r="AO17" s="133">
        <v>0</v>
      </c>
      <c r="AP17" s="138"/>
      <c r="AQ17" s="133">
        <v>0</v>
      </c>
      <c r="AR17" s="133">
        <v>0</v>
      </c>
      <c r="AS17" s="138"/>
      <c r="AT17" s="133">
        <v>0</v>
      </c>
      <c r="AU17" s="138"/>
      <c r="AV17" s="133">
        <v>0</v>
      </c>
      <c r="AW17" s="138"/>
      <c r="AX17" s="133">
        <v>0</v>
      </c>
      <c r="AY17" s="133">
        <v>0</v>
      </c>
      <c r="AZ17" s="138"/>
      <c r="BA17" s="133">
        <v>0</v>
      </c>
      <c r="BB17" s="133">
        <v>0</v>
      </c>
      <c r="BC17" s="138"/>
      <c r="BD17" s="133">
        <v>0</v>
      </c>
      <c r="BE17" s="138"/>
      <c r="BF17" s="133">
        <v>0</v>
      </c>
      <c r="BG17" s="138"/>
      <c r="BH17" s="133">
        <v>0</v>
      </c>
      <c r="BI17" s="138"/>
      <c r="BJ17" s="133">
        <v>0</v>
      </c>
      <c r="BK17" s="133">
        <v>0</v>
      </c>
      <c r="BL17" s="138">
        <v>0</v>
      </c>
      <c r="BM17" s="138">
        <v>0</v>
      </c>
      <c r="BN17" s="133">
        <v>0</v>
      </c>
      <c r="BO17" s="133">
        <v>0</v>
      </c>
      <c r="BP17" s="133">
        <v>0</v>
      </c>
      <c r="BQ17" s="133">
        <v>0</v>
      </c>
      <c r="BR17" s="133">
        <v>0</v>
      </c>
      <c r="BS17" s="138">
        <v>0</v>
      </c>
      <c r="BT17" s="138">
        <v>0</v>
      </c>
      <c r="BU17" s="138"/>
      <c r="BV17" s="133">
        <v>0</v>
      </c>
      <c r="BW17" s="133">
        <v>0</v>
      </c>
      <c r="BX17" s="133">
        <v>0</v>
      </c>
      <c r="BY17" s="138"/>
      <c r="BZ17" s="133">
        <v>0</v>
      </c>
      <c r="CA17" s="138">
        <f>+BZ17-CB17</f>
        <v>0</v>
      </c>
      <c r="CB17" s="138">
        <v>0</v>
      </c>
      <c r="CC17" s="133">
        <v>0</v>
      </c>
      <c r="CD17" s="133">
        <v>0</v>
      </c>
      <c r="CE17" s="138"/>
      <c r="CF17" s="133">
        <v>0</v>
      </c>
      <c r="CG17" s="133">
        <v>0</v>
      </c>
      <c r="CH17" s="133">
        <v>0</v>
      </c>
      <c r="CI17" s="133">
        <v>0</v>
      </c>
      <c r="CJ17" s="133">
        <v>0</v>
      </c>
      <c r="CK17" s="133">
        <v>0</v>
      </c>
      <c r="CL17" s="133">
        <v>0</v>
      </c>
      <c r="CM17" s="133">
        <v>0</v>
      </c>
      <c r="CN17" s="133">
        <v>0</v>
      </c>
      <c r="CO17" s="133">
        <v>0</v>
      </c>
      <c r="CP17" s="133">
        <v>0</v>
      </c>
      <c r="CQ17" s="138"/>
      <c r="CR17" s="133">
        <v>0</v>
      </c>
      <c r="CS17" s="133">
        <v>0</v>
      </c>
      <c r="CT17" s="133"/>
      <c r="CV17" s="30">
        <f t="shared" si="0"/>
        <v>0</v>
      </c>
      <c r="CW17" s="30"/>
      <c r="CX17" s="30">
        <f t="shared" si="1"/>
        <v>0</v>
      </c>
      <c r="CY17" s="30">
        <f t="shared" si="2"/>
        <v>0</v>
      </c>
      <c r="CZ17" s="133"/>
      <c r="DA17" s="30">
        <f t="shared" si="3"/>
        <v>0</v>
      </c>
    </row>
    <row r="18" spans="1:105" ht="5.25" customHeight="1">
      <c r="A18" s="139"/>
      <c r="CV18" s="30"/>
      <c r="CW18" s="30"/>
      <c r="CX18" s="30"/>
      <c r="CY18" s="30"/>
      <c r="DA18" s="30">
        <f t="shared" si="3"/>
        <v>0</v>
      </c>
    </row>
    <row r="19" spans="1:105" ht="12.75">
      <c r="A19" s="140" t="s">
        <v>222</v>
      </c>
      <c r="B19" s="30">
        <f aca="true" t="shared" si="6" ref="B19:BM19">SUM(B14:B17)</f>
        <v>1561865.5280000002</v>
      </c>
      <c r="C19" s="103">
        <f>SUM(C14:C14)</f>
        <v>6145.27</v>
      </c>
      <c r="D19" s="30">
        <f t="shared" si="6"/>
        <v>6334895</v>
      </c>
      <c r="E19" s="103">
        <f>SUM(E14:E17)+1</f>
        <v>6116059</v>
      </c>
      <c r="F19" s="103">
        <f t="shared" si="6"/>
        <v>11482</v>
      </c>
      <c r="G19" s="103">
        <f t="shared" si="6"/>
        <v>180309</v>
      </c>
      <c r="H19" s="103">
        <f t="shared" si="6"/>
        <v>26437</v>
      </c>
      <c r="I19" s="103">
        <f>SUM(I14:I14)</f>
        <v>607</v>
      </c>
      <c r="J19" s="30">
        <f t="shared" si="6"/>
        <v>1486244.251</v>
      </c>
      <c r="K19" s="103">
        <f>SUM(K14:K14)</f>
        <v>1862.675</v>
      </c>
      <c r="L19" s="30">
        <f t="shared" si="6"/>
        <v>1031280.6930000001</v>
      </c>
      <c r="M19" s="103">
        <f t="shared" si="6"/>
        <v>1029644.741</v>
      </c>
      <c r="N19" s="103">
        <f t="shared" si="6"/>
        <v>0</v>
      </c>
      <c r="O19" s="103">
        <f>SUM(O14:O14)</f>
        <v>1636</v>
      </c>
      <c r="P19" s="30">
        <f t="shared" si="6"/>
        <v>869400.3010000001</v>
      </c>
      <c r="Q19" s="103">
        <f>SUM(Q14:Q14)</f>
        <v>0</v>
      </c>
      <c r="R19" s="30">
        <f t="shared" si="6"/>
        <v>492050.20399999997</v>
      </c>
      <c r="S19" s="103">
        <f>SUM(S14:S14)</f>
        <v>0</v>
      </c>
      <c r="T19" s="30">
        <f t="shared" si="6"/>
        <v>170729.34</v>
      </c>
      <c r="U19" s="103">
        <f>SUM(U14:U14)</f>
        <v>0</v>
      </c>
      <c r="V19" s="30">
        <f t="shared" si="6"/>
        <v>449000.636</v>
      </c>
      <c r="W19" s="103">
        <f t="shared" si="6"/>
        <v>437515.737</v>
      </c>
      <c r="X19" s="103">
        <f t="shared" si="6"/>
        <v>11484.898999999976</v>
      </c>
      <c r="Y19" s="30">
        <f>SUM(Y14:Y17)</f>
        <v>149706.29</v>
      </c>
      <c r="Z19" s="103">
        <f>SUM(Z14:Z14)</f>
        <v>0</v>
      </c>
      <c r="AA19" s="30">
        <f t="shared" si="6"/>
        <v>635968.725</v>
      </c>
      <c r="AB19" s="103">
        <f>SUM(AB14:AB14)</f>
        <v>5905.043</v>
      </c>
      <c r="AC19" s="30">
        <f t="shared" si="6"/>
        <v>269976.551</v>
      </c>
      <c r="AD19" s="30">
        <f t="shared" si="6"/>
        <v>249312.13</v>
      </c>
      <c r="AE19" s="103">
        <f>SUM(AE14:AE14)</f>
        <v>0</v>
      </c>
      <c r="AF19" s="30">
        <f>SUM(AF14:AF17)</f>
        <v>171016</v>
      </c>
      <c r="AG19" s="30">
        <f t="shared" si="6"/>
        <v>463726.34199999995</v>
      </c>
      <c r="AH19" s="30">
        <f>SUM(AH14:AH17)</f>
        <v>357314.64600000007</v>
      </c>
      <c r="AI19" s="30">
        <f t="shared" si="6"/>
        <v>115234.605</v>
      </c>
      <c r="AJ19" s="103">
        <f>SUM(AJ14:AJ14)</f>
        <v>0</v>
      </c>
      <c r="AK19" s="30">
        <f t="shared" si="6"/>
        <v>217818.664</v>
      </c>
      <c r="AL19" s="103">
        <f>SUM(AL14:AL14)</f>
        <v>0</v>
      </c>
      <c r="AM19" s="30">
        <f t="shared" si="6"/>
        <v>87993.002</v>
      </c>
      <c r="AN19" s="103">
        <v>87993</v>
      </c>
      <c r="AO19" s="30">
        <f>SUM(AO14:AO17)</f>
        <v>69320.025</v>
      </c>
      <c r="AP19" s="103">
        <v>69320</v>
      </c>
      <c r="AQ19" s="30">
        <f>SUM(AQ14:AQ17)</f>
        <v>426362.47500000003</v>
      </c>
      <c r="AR19" s="30">
        <f t="shared" si="6"/>
        <v>222263.265</v>
      </c>
      <c r="AS19" s="103">
        <f>SUM(AS14:AS14)</f>
        <v>0</v>
      </c>
      <c r="AT19" s="30">
        <f t="shared" si="6"/>
        <v>203728.866</v>
      </c>
      <c r="AU19" s="103">
        <f>SUM(AU14:AU14)</f>
        <v>0</v>
      </c>
      <c r="AV19" s="30">
        <f>SUM(AV14:AV17)</f>
        <v>79447</v>
      </c>
      <c r="AW19" s="103">
        <f>SUM(AW14:AW14)</f>
        <v>78998</v>
      </c>
      <c r="AX19" s="30">
        <f t="shared" si="6"/>
        <v>177790.261</v>
      </c>
      <c r="AY19" s="30">
        <f t="shared" si="6"/>
        <v>32331.065</v>
      </c>
      <c r="AZ19" s="103">
        <v>22876.281</v>
      </c>
      <c r="BA19" s="30">
        <f t="shared" si="6"/>
        <v>116302.235</v>
      </c>
      <c r="BB19" s="30">
        <f t="shared" si="6"/>
        <v>59757.555</v>
      </c>
      <c r="BC19" s="103">
        <f t="shared" si="6"/>
        <v>59757.555</v>
      </c>
      <c r="BD19" s="30">
        <f t="shared" si="6"/>
        <v>124189.43</v>
      </c>
      <c r="BE19" s="103">
        <f>SUM(BE14:BE14)</f>
        <v>0</v>
      </c>
      <c r="BF19" s="30">
        <f>SUM(BF14:BF17)</f>
        <v>64643.926</v>
      </c>
      <c r="BG19" s="103"/>
      <c r="BH19" s="30">
        <f>SUM(BH14:BH17)</f>
        <v>118055.889</v>
      </c>
      <c r="BI19" s="103"/>
      <c r="BJ19" s="30">
        <f t="shared" si="6"/>
        <v>924733.296</v>
      </c>
      <c r="BK19" s="30">
        <f t="shared" si="6"/>
        <v>131250.502</v>
      </c>
      <c r="BL19" s="103">
        <f t="shared" si="6"/>
        <v>103337.534</v>
      </c>
      <c r="BM19" s="103">
        <f t="shared" si="6"/>
        <v>27912.968</v>
      </c>
      <c r="BN19" s="30">
        <f aca="true" t="shared" si="7" ref="BN19:CR19">SUM(BN14:BN17)</f>
        <v>52424.349</v>
      </c>
      <c r="BO19" s="30">
        <f>SUM(BO14:BO17)</f>
        <v>75781.211</v>
      </c>
      <c r="BP19" s="30">
        <f t="shared" si="7"/>
        <v>34574.306000000004</v>
      </c>
      <c r="BQ19" s="30">
        <f t="shared" si="7"/>
        <v>36343.109</v>
      </c>
      <c r="BR19" s="30">
        <f>SUM(BR14:BR17)</f>
        <v>354.959</v>
      </c>
      <c r="BS19" s="103">
        <f>SUM(BS14:BS17)</f>
        <v>354.959</v>
      </c>
      <c r="BT19" s="103">
        <f>SUM(BT14:BT17)</f>
        <v>0</v>
      </c>
      <c r="BU19" s="103">
        <f>SUM(BU14:BU14)</f>
        <v>0</v>
      </c>
      <c r="BV19" s="30">
        <f>SUM(BV14:BV17)</f>
        <v>26254.269</v>
      </c>
      <c r="BW19" s="30">
        <f t="shared" si="7"/>
        <v>53452.387</v>
      </c>
      <c r="BX19" s="30">
        <f>SUM(BX14:BX17)</f>
        <v>9230.738</v>
      </c>
      <c r="BY19" s="103">
        <f>SUM(BY14:BY14)</f>
        <v>9230.738</v>
      </c>
      <c r="BZ19" s="30">
        <f>SUM(BZ14:BZ17)</f>
        <v>74457.034</v>
      </c>
      <c r="CA19" s="103">
        <f>SUM(CA14:CA17)</f>
        <v>0</v>
      </c>
      <c r="CB19" s="103">
        <f>SUM(CB14:CB17)</f>
        <v>74457.034</v>
      </c>
      <c r="CC19" s="30">
        <f t="shared" si="7"/>
        <v>63976.375</v>
      </c>
      <c r="CD19" s="30">
        <f t="shared" si="7"/>
        <v>13434.936</v>
      </c>
      <c r="CE19" s="103">
        <v>13434.936</v>
      </c>
      <c r="CF19" s="30">
        <f t="shared" si="7"/>
        <v>103017.043</v>
      </c>
      <c r="CG19" s="30">
        <f t="shared" si="7"/>
        <v>60197.874</v>
      </c>
      <c r="CH19" s="30">
        <f t="shared" si="7"/>
        <v>41689.704000000005</v>
      </c>
      <c r="CI19" s="30">
        <f t="shared" si="7"/>
        <v>33355.609000000004</v>
      </c>
      <c r="CJ19" s="30">
        <f>SUM(CJ14:CJ17)</f>
        <v>40866.518</v>
      </c>
      <c r="CK19" s="30">
        <f t="shared" si="7"/>
        <v>35203.925</v>
      </c>
      <c r="CL19" s="30">
        <f t="shared" si="7"/>
        <v>33545.639</v>
      </c>
      <c r="CM19" s="30">
        <f t="shared" si="7"/>
        <v>22804.502999999997</v>
      </c>
      <c r="CN19" s="30">
        <f t="shared" si="7"/>
        <v>18239.54</v>
      </c>
      <c r="CO19" s="30">
        <f t="shared" si="7"/>
        <v>116567.437</v>
      </c>
      <c r="CP19" s="30">
        <f>SUM(CP14:CP17)</f>
        <v>0</v>
      </c>
      <c r="CQ19" s="103">
        <f>SUM(CQ14:CQ14)</f>
        <v>1134.906</v>
      </c>
      <c r="CR19" s="30">
        <f t="shared" si="7"/>
        <v>40899.864</v>
      </c>
      <c r="CS19" s="30">
        <f>SUM(CS14:CS17)</f>
        <v>1414.696</v>
      </c>
      <c r="CT19" s="30"/>
      <c r="CV19" s="30">
        <f t="shared" si="0"/>
        <v>18851794.723</v>
      </c>
      <c r="CW19" s="30"/>
      <c r="CX19" s="30">
        <f t="shared" si="1"/>
        <v>8269272.278999999</v>
      </c>
      <c r="CY19" s="30">
        <f t="shared" si="2"/>
        <v>10582522.444</v>
      </c>
      <c r="CZ19" s="30"/>
      <c r="DA19" s="30">
        <f t="shared" si="3"/>
        <v>0</v>
      </c>
    </row>
    <row r="20" spans="1:105" ht="8.25" customHeight="1">
      <c r="A20" s="135"/>
      <c r="CV20" s="30"/>
      <c r="CW20" s="30"/>
      <c r="CX20" s="30"/>
      <c r="CY20" s="30"/>
      <c r="CZ20" s="30"/>
      <c r="DA20" s="30">
        <f t="shared" si="3"/>
        <v>0</v>
      </c>
    </row>
    <row r="21" spans="1:105" ht="12.75">
      <c r="A21" s="135" t="s">
        <v>231</v>
      </c>
      <c r="CV21" s="30"/>
      <c r="CW21" s="30"/>
      <c r="CX21" s="30"/>
      <c r="CY21" s="30"/>
      <c r="DA21" s="30">
        <f t="shared" si="3"/>
        <v>0</v>
      </c>
    </row>
    <row r="22" spans="1:105" ht="12.75">
      <c r="A22" s="137" t="s">
        <v>329</v>
      </c>
      <c r="B22" s="133">
        <v>0</v>
      </c>
      <c r="C22" s="138">
        <v>0</v>
      </c>
      <c r="D22" s="133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3">
        <v>0</v>
      </c>
      <c r="K22" s="138">
        <v>0</v>
      </c>
      <c r="L22" s="133">
        <v>0</v>
      </c>
      <c r="M22" s="138">
        <v>0</v>
      </c>
      <c r="N22" s="138">
        <v>0</v>
      </c>
      <c r="O22" s="138">
        <v>0</v>
      </c>
      <c r="P22" s="133">
        <v>0</v>
      </c>
      <c r="Q22" s="138">
        <v>0</v>
      </c>
      <c r="R22" s="133">
        <v>0</v>
      </c>
      <c r="S22" s="138"/>
      <c r="T22" s="133">
        <v>0</v>
      </c>
      <c r="U22" s="138">
        <v>0</v>
      </c>
      <c r="V22" s="133">
        <v>0</v>
      </c>
      <c r="W22" s="138">
        <v>0</v>
      </c>
      <c r="X22" s="138">
        <f>+V22-W22</f>
        <v>0</v>
      </c>
      <c r="Y22" s="133">
        <v>0</v>
      </c>
      <c r="Z22" s="138"/>
      <c r="AA22" s="133">
        <v>0</v>
      </c>
      <c r="AB22" s="138"/>
      <c r="AC22" s="133">
        <v>0</v>
      </c>
      <c r="AD22" s="133">
        <v>0</v>
      </c>
      <c r="AE22" s="138"/>
      <c r="AF22" s="133">
        <v>0</v>
      </c>
      <c r="AG22" s="133">
        <v>0</v>
      </c>
      <c r="AH22" s="133">
        <v>0</v>
      </c>
      <c r="AI22" s="133">
        <v>0</v>
      </c>
      <c r="AJ22" s="138">
        <v>0</v>
      </c>
      <c r="AK22" s="133">
        <v>0</v>
      </c>
      <c r="AL22" s="138">
        <v>0</v>
      </c>
      <c r="AM22" s="133">
        <v>0</v>
      </c>
      <c r="AN22" s="138"/>
      <c r="AO22" s="133">
        <v>0</v>
      </c>
      <c r="AP22" s="138"/>
      <c r="AQ22" s="133">
        <v>0</v>
      </c>
      <c r="AR22" s="133">
        <v>0</v>
      </c>
      <c r="AS22" s="138">
        <v>0</v>
      </c>
      <c r="AT22" s="133">
        <v>0</v>
      </c>
      <c r="AU22" s="138">
        <v>0</v>
      </c>
      <c r="AV22" s="133">
        <v>0</v>
      </c>
      <c r="AW22" s="138"/>
      <c r="AX22" s="133">
        <v>0</v>
      </c>
      <c r="AY22" s="133">
        <v>0</v>
      </c>
      <c r="AZ22" s="138"/>
      <c r="BA22" s="133">
        <v>0</v>
      </c>
      <c r="BB22" s="133">
        <v>0</v>
      </c>
      <c r="BC22" s="138">
        <v>0</v>
      </c>
      <c r="BD22" s="133">
        <v>0</v>
      </c>
      <c r="BE22" s="138"/>
      <c r="BF22" s="133">
        <v>0</v>
      </c>
      <c r="BG22" s="138"/>
      <c r="BH22" s="133">
        <v>0</v>
      </c>
      <c r="BI22" s="138"/>
      <c r="BJ22" s="133">
        <v>0</v>
      </c>
      <c r="BK22" s="133">
        <v>0</v>
      </c>
      <c r="BL22" s="138">
        <v>0</v>
      </c>
      <c r="BM22" s="138">
        <v>0</v>
      </c>
      <c r="BN22" s="133">
        <v>0</v>
      </c>
      <c r="BO22" s="133">
        <v>0</v>
      </c>
      <c r="BP22" s="133">
        <v>0</v>
      </c>
      <c r="BQ22" s="133">
        <v>0</v>
      </c>
      <c r="BR22" s="133">
        <v>0</v>
      </c>
      <c r="BS22" s="138">
        <v>0</v>
      </c>
      <c r="BT22" s="138">
        <v>0</v>
      </c>
      <c r="BU22" s="138">
        <v>0</v>
      </c>
      <c r="BV22" s="133">
        <v>0</v>
      </c>
      <c r="BW22" s="133">
        <v>0</v>
      </c>
      <c r="BX22" s="133">
        <v>0</v>
      </c>
      <c r="BY22" s="138">
        <v>0</v>
      </c>
      <c r="BZ22" s="133">
        <v>0</v>
      </c>
      <c r="CA22" s="138">
        <f aca="true" t="shared" si="8" ref="CA22:CA31">+BZ22-CB22</f>
        <v>0</v>
      </c>
      <c r="CB22" s="138">
        <v>0</v>
      </c>
      <c r="CC22" s="133">
        <v>0</v>
      </c>
      <c r="CD22" s="133">
        <v>0</v>
      </c>
      <c r="CE22" s="138"/>
      <c r="CF22" s="133">
        <v>0</v>
      </c>
      <c r="CG22" s="133">
        <v>0</v>
      </c>
      <c r="CH22" s="133">
        <v>0</v>
      </c>
      <c r="CI22" s="133">
        <v>0</v>
      </c>
      <c r="CJ22" s="133">
        <v>0</v>
      </c>
      <c r="CK22" s="133">
        <v>0</v>
      </c>
      <c r="CL22" s="133">
        <v>0</v>
      </c>
      <c r="CM22" s="133">
        <v>0</v>
      </c>
      <c r="CN22" s="133">
        <v>0</v>
      </c>
      <c r="CO22" s="133">
        <v>0</v>
      </c>
      <c r="CP22" s="133">
        <v>0</v>
      </c>
      <c r="CQ22" s="138">
        <v>0</v>
      </c>
      <c r="CR22" s="133">
        <v>0</v>
      </c>
      <c r="CS22" s="133">
        <v>0</v>
      </c>
      <c r="CT22" s="133"/>
      <c r="CV22" s="30">
        <f t="shared" si="0"/>
        <v>0</v>
      </c>
      <c r="CW22" s="30"/>
      <c r="CX22" s="30">
        <f t="shared" si="1"/>
        <v>0</v>
      </c>
      <c r="CY22" s="30">
        <f t="shared" si="2"/>
        <v>0</v>
      </c>
      <c r="CZ22" s="133"/>
      <c r="DA22" s="30">
        <f t="shared" si="3"/>
        <v>0</v>
      </c>
    </row>
    <row r="23" spans="1:105" ht="12.75">
      <c r="A23" s="137" t="s">
        <v>330</v>
      </c>
      <c r="B23" s="133">
        <v>0</v>
      </c>
      <c r="C23" s="138">
        <v>0</v>
      </c>
      <c r="D23" s="133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3">
        <v>0</v>
      </c>
      <c r="K23" s="138">
        <v>0</v>
      </c>
      <c r="L23" s="133">
        <v>0</v>
      </c>
      <c r="M23" s="138">
        <v>0</v>
      </c>
      <c r="N23" s="138">
        <v>0</v>
      </c>
      <c r="O23" s="138">
        <v>0</v>
      </c>
      <c r="P23" s="133">
        <v>0</v>
      </c>
      <c r="Q23" s="138">
        <v>0</v>
      </c>
      <c r="R23" s="133">
        <v>0</v>
      </c>
      <c r="S23" s="138"/>
      <c r="T23" s="133">
        <v>0</v>
      </c>
      <c r="U23" s="138">
        <v>0</v>
      </c>
      <c r="V23" s="133">
        <v>0</v>
      </c>
      <c r="W23" s="138">
        <v>0</v>
      </c>
      <c r="X23" s="138">
        <f aca="true" t="shared" si="9" ref="X23:X31">+V23-W23</f>
        <v>0</v>
      </c>
      <c r="Y23" s="133">
        <v>0</v>
      </c>
      <c r="Z23" s="138"/>
      <c r="AA23" s="133">
        <v>0</v>
      </c>
      <c r="AB23" s="138"/>
      <c r="AC23" s="133">
        <v>0</v>
      </c>
      <c r="AD23" s="133">
        <v>0</v>
      </c>
      <c r="AE23" s="138"/>
      <c r="AF23" s="133">
        <v>0</v>
      </c>
      <c r="AG23" s="133">
        <v>0</v>
      </c>
      <c r="AH23" s="133">
        <v>0</v>
      </c>
      <c r="AI23" s="133">
        <v>0</v>
      </c>
      <c r="AJ23" s="138">
        <v>0</v>
      </c>
      <c r="AK23" s="133">
        <v>0</v>
      </c>
      <c r="AL23" s="138">
        <v>0</v>
      </c>
      <c r="AM23" s="133">
        <v>0</v>
      </c>
      <c r="AN23" s="138"/>
      <c r="AO23" s="133">
        <v>0</v>
      </c>
      <c r="AP23" s="138"/>
      <c r="AQ23" s="133">
        <v>0</v>
      </c>
      <c r="AR23" s="133">
        <v>0</v>
      </c>
      <c r="AS23" s="138">
        <v>0</v>
      </c>
      <c r="AT23" s="133">
        <v>0</v>
      </c>
      <c r="AU23" s="138">
        <v>0</v>
      </c>
      <c r="AV23" s="133">
        <v>0</v>
      </c>
      <c r="AW23" s="138"/>
      <c r="AX23" s="133">
        <v>0</v>
      </c>
      <c r="AY23" s="133">
        <v>0</v>
      </c>
      <c r="AZ23" s="138"/>
      <c r="BA23" s="133">
        <v>0</v>
      </c>
      <c r="BB23" s="133">
        <v>0</v>
      </c>
      <c r="BC23" s="138">
        <v>0</v>
      </c>
      <c r="BD23" s="133">
        <v>0</v>
      </c>
      <c r="BE23" s="138"/>
      <c r="BF23" s="133">
        <v>0</v>
      </c>
      <c r="BG23" s="138"/>
      <c r="BH23" s="133">
        <v>0</v>
      </c>
      <c r="BI23" s="138"/>
      <c r="BJ23" s="133">
        <v>0</v>
      </c>
      <c r="BK23" s="133">
        <v>0</v>
      </c>
      <c r="BL23" s="138">
        <v>0</v>
      </c>
      <c r="BM23" s="138">
        <v>0</v>
      </c>
      <c r="BN23" s="133">
        <v>0</v>
      </c>
      <c r="BO23" s="133">
        <v>0</v>
      </c>
      <c r="BP23" s="133">
        <v>0</v>
      </c>
      <c r="BQ23" s="133">
        <v>0</v>
      </c>
      <c r="BR23" s="133">
        <v>0</v>
      </c>
      <c r="BS23" s="138">
        <v>0</v>
      </c>
      <c r="BT23" s="138">
        <v>0</v>
      </c>
      <c r="BU23" s="138">
        <v>0</v>
      </c>
      <c r="BV23" s="133">
        <v>0</v>
      </c>
      <c r="BW23" s="133">
        <v>0</v>
      </c>
      <c r="BX23" s="133">
        <v>0</v>
      </c>
      <c r="BY23" s="138">
        <v>0</v>
      </c>
      <c r="BZ23" s="133">
        <v>0</v>
      </c>
      <c r="CA23" s="138">
        <f t="shared" si="8"/>
        <v>0</v>
      </c>
      <c r="CB23" s="138">
        <v>0</v>
      </c>
      <c r="CC23" s="133">
        <v>0</v>
      </c>
      <c r="CD23" s="133">
        <v>0</v>
      </c>
      <c r="CE23" s="138"/>
      <c r="CF23" s="133">
        <v>0</v>
      </c>
      <c r="CG23" s="133">
        <v>0</v>
      </c>
      <c r="CH23" s="133">
        <v>0</v>
      </c>
      <c r="CI23" s="133">
        <v>0</v>
      </c>
      <c r="CJ23" s="133">
        <v>0</v>
      </c>
      <c r="CK23" s="133">
        <v>0</v>
      </c>
      <c r="CL23" s="133">
        <v>0</v>
      </c>
      <c r="CM23" s="133">
        <v>0</v>
      </c>
      <c r="CN23" s="133">
        <v>0</v>
      </c>
      <c r="CO23" s="133">
        <v>0</v>
      </c>
      <c r="CP23" s="133">
        <v>0</v>
      </c>
      <c r="CQ23" s="138">
        <v>0</v>
      </c>
      <c r="CR23" s="133">
        <v>0</v>
      </c>
      <c r="CS23" s="133">
        <v>0</v>
      </c>
      <c r="CT23" s="133"/>
      <c r="CV23" s="30">
        <f t="shared" si="0"/>
        <v>0</v>
      </c>
      <c r="CW23" s="30"/>
      <c r="CX23" s="30">
        <f t="shared" si="1"/>
        <v>0</v>
      </c>
      <c r="CY23" s="30">
        <f t="shared" si="2"/>
        <v>0</v>
      </c>
      <c r="CZ23" s="133"/>
      <c r="DA23" s="30">
        <f t="shared" si="3"/>
        <v>0</v>
      </c>
    </row>
    <row r="24" spans="1:105" ht="12.75">
      <c r="A24" s="137" t="s">
        <v>226</v>
      </c>
      <c r="B24" s="133">
        <v>-1064216.908</v>
      </c>
      <c r="C24" s="138">
        <v>0</v>
      </c>
      <c r="D24" s="133">
        <v>-1307873</v>
      </c>
      <c r="E24" s="138">
        <v>-923535</v>
      </c>
      <c r="F24" s="138">
        <v>-342801</v>
      </c>
      <c r="G24" s="138">
        <v>0</v>
      </c>
      <c r="H24" s="138">
        <v>0</v>
      </c>
      <c r="I24" s="138">
        <v>-41536</v>
      </c>
      <c r="J24" s="133">
        <v>-1273279.301</v>
      </c>
      <c r="K24" s="138">
        <v>1225.842</v>
      </c>
      <c r="L24" s="133">
        <v>-502319.442</v>
      </c>
      <c r="M24" s="138">
        <v>-502319.442</v>
      </c>
      <c r="N24" s="138">
        <v>0</v>
      </c>
      <c r="O24" s="138">
        <v>0</v>
      </c>
      <c r="P24" s="133">
        <v>-447554.222</v>
      </c>
      <c r="Q24" s="138">
        <v>0</v>
      </c>
      <c r="R24" s="133">
        <v>-704781.315</v>
      </c>
      <c r="S24" s="138"/>
      <c r="T24" s="133">
        <v>-449599.816</v>
      </c>
      <c r="U24" s="138">
        <v>-170.251</v>
      </c>
      <c r="V24" s="133">
        <v>23399.945</v>
      </c>
      <c r="W24" s="138">
        <v>19072.201</v>
      </c>
      <c r="X24" s="138">
        <f t="shared" si="9"/>
        <v>4327.743999999999</v>
      </c>
      <c r="Y24" s="133">
        <v>-353362.946</v>
      </c>
      <c r="Z24" s="138"/>
      <c r="AA24" s="133">
        <v>-270.196</v>
      </c>
      <c r="AB24" s="138"/>
      <c r="AC24" s="133">
        <v>21416.642</v>
      </c>
      <c r="AD24" s="133">
        <v>-735419.53</v>
      </c>
      <c r="AE24" s="138"/>
      <c r="AF24" s="133">
        <v>-361596</v>
      </c>
      <c r="AG24" s="133">
        <v>28996.16</v>
      </c>
      <c r="AH24" s="133">
        <v>609445.7</v>
      </c>
      <c r="AI24" s="133">
        <v>-858408.497</v>
      </c>
      <c r="AJ24" s="138">
        <v>-1697.538</v>
      </c>
      <c r="AK24" s="133">
        <v>-194518.986</v>
      </c>
      <c r="AL24" s="138">
        <v>0</v>
      </c>
      <c r="AM24" s="133">
        <v>28481.243</v>
      </c>
      <c r="AN24" s="138"/>
      <c r="AO24" s="133">
        <v>-4420.216</v>
      </c>
      <c r="AP24" s="138"/>
      <c r="AQ24" s="133">
        <v>-143824.936</v>
      </c>
      <c r="AR24" s="133">
        <v>-281294.785</v>
      </c>
      <c r="AS24" s="138">
        <v>-80.918</v>
      </c>
      <c r="AT24" s="133">
        <v>-16043.227</v>
      </c>
      <c r="AU24" s="138">
        <v>-9.648</v>
      </c>
      <c r="AV24" s="133">
        <v>-35722</v>
      </c>
      <c r="AW24" s="138"/>
      <c r="AX24" s="133">
        <v>-272588.304</v>
      </c>
      <c r="AY24" s="133">
        <v>-2766.266</v>
      </c>
      <c r="AZ24" s="138"/>
      <c r="BA24" s="133">
        <v>-48874.505</v>
      </c>
      <c r="BB24" s="133">
        <v>3507.142</v>
      </c>
      <c r="BC24" s="138">
        <v>3507.142</v>
      </c>
      <c r="BD24" s="133">
        <v>-32033.621</v>
      </c>
      <c r="BE24" s="138"/>
      <c r="BF24" s="133">
        <f>35787.421+126811.664</f>
        <v>162599.08500000002</v>
      </c>
      <c r="BG24" s="138"/>
      <c r="BH24" s="133">
        <f>25353.259-37978.114</f>
        <v>-12624.855000000003</v>
      </c>
      <c r="BI24" s="138"/>
      <c r="BJ24" s="133">
        <v>0</v>
      </c>
      <c r="BK24" s="133">
        <v>-289966.475</v>
      </c>
      <c r="BL24" s="138">
        <v>-289966.475</v>
      </c>
      <c r="BM24" s="138">
        <v>0</v>
      </c>
      <c r="BN24" s="133">
        <v>0</v>
      </c>
      <c r="BO24" s="133">
        <v>1643.022</v>
      </c>
      <c r="BP24" s="133">
        <v>4094.635</v>
      </c>
      <c r="BQ24" s="133">
        <v>-16522.82</v>
      </c>
      <c r="BR24" s="133">
        <f>-80.93-2752.995</f>
        <v>-2833.9249999999997</v>
      </c>
      <c r="BS24" s="138">
        <v>0</v>
      </c>
      <c r="BT24" s="138">
        <v>0</v>
      </c>
      <c r="BU24" s="138">
        <v>83.351</v>
      </c>
      <c r="BV24" s="133">
        <v>411.466</v>
      </c>
      <c r="BW24" s="133">
        <v>-2617.319</v>
      </c>
      <c r="BX24" s="133">
        <v>205.055</v>
      </c>
      <c r="BY24" s="138">
        <v>205.055</v>
      </c>
      <c r="BZ24" s="133">
        <v>-26010.097</v>
      </c>
      <c r="CA24" s="138">
        <f t="shared" si="8"/>
        <v>-3777.357</v>
      </c>
      <c r="CB24" s="138">
        <v>-22232.74</v>
      </c>
      <c r="CC24" s="133">
        <v>-4570.952</v>
      </c>
      <c r="CD24" s="133">
        <v>427.821</v>
      </c>
      <c r="CE24" s="138"/>
      <c r="CF24" s="133">
        <v>83.538</v>
      </c>
      <c r="CG24" s="133">
        <v>7190.85</v>
      </c>
      <c r="CH24" s="133">
        <v>0</v>
      </c>
      <c r="CI24" s="133">
        <v>81.034</v>
      </c>
      <c r="CJ24" s="133">
        <v>-10871.045</v>
      </c>
      <c r="CK24" s="133">
        <v>0</v>
      </c>
      <c r="CL24" s="133">
        <v>64.8</v>
      </c>
      <c r="CM24" s="133">
        <v>0</v>
      </c>
      <c r="CN24" s="133">
        <v>-3465.38</v>
      </c>
      <c r="CO24" s="133">
        <v>0</v>
      </c>
      <c r="CP24" s="133">
        <v>0</v>
      </c>
      <c r="CQ24" s="138">
        <v>0</v>
      </c>
      <c r="CR24" s="133">
        <v>0</v>
      </c>
      <c r="CS24" s="133">
        <v>0</v>
      </c>
      <c r="CT24" s="133"/>
      <c r="CV24" s="30">
        <f t="shared" si="0"/>
        <v>-8568202.749</v>
      </c>
      <c r="CW24" s="30"/>
      <c r="CX24" s="30">
        <f t="shared" si="1"/>
        <v>-1490221.3139999998</v>
      </c>
      <c r="CY24" s="30">
        <f t="shared" si="2"/>
        <v>-7077981.4350000005</v>
      </c>
      <c r="CZ24" s="133"/>
      <c r="DA24" s="30">
        <f t="shared" si="3"/>
        <v>0</v>
      </c>
    </row>
    <row r="25" spans="1:105" ht="12.75">
      <c r="A25" s="137" t="s">
        <v>227</v>
      </c>
      <c r="B25" s="133">
        <v>977.956</v>
      </c>
      <c r="C25" s="138">
        <v>0</v>
      </c>
      <c r="D25" s="133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3">
        <v>1426.447</v>
      </c>
      <c r="K25" s="138">
        <v>0</v>
      </c>
      <c r="L25" s="133">
        <v>3996.767</v>
      </c>
      <c r="M25" s="138">
        <v>3996.767</v>
      </c>
      <c r="N25" s="138">
        <v>0</v>
      </c>
      <c r="O25" s="138">
        <v>0</v>
      </c>
      <c r="P25" s="133">
        <v>2007.38</v>
      </c>
      <c r="Q25" s="138">
        <v>0</v>
      </c>
      <c r="R25" s="133">
        <v>0</v>
      </c>
      <c r="S25" s="138"/>
      <c r="T25" s="133">
        <v>0</v>
      </c>
      <c r="U25" s="138">
        <v>0</v>
      </c>
      <c r="V25" s="133">
        <v>0</v>
      </c>
      <c r="W25" s="138">
        <v>0</v>
      </c>
      <c r="X25" s="138">
        <f t="shared" si="9"/>
        <v>0</v>
      </c>
      <c r="Y25" s="133">
        <v>0</v>
      </c>
      <c r="Z25" s="138"/>
      <c r="AA25" s="133">
        <v>-1057.044</v>
      </c>
      <c r="AB25" s="138"/>
      <c r="AC25" s="133">
        <v>0</v>
      </c>
      <c r="AD25" s="133">
        <v>653.951</v>
      </c>
      <c r="AE25" s="138"/>
      <c r="AF25" s="133">
        <v>0</v>
      </c>
      <c r="AG25" s="133">
        <v>0</v>
      </c>
      <c r="AH25" s="133">
        <v>0</v>
      </c>
      <c r="AI25" s="133">
        <v>0</v>
      </c>
      <c r="AJ25" s="138">
        <v>0</v>
      </c>
      <c r="AK25" s="133">
        <v>0</v>
      </c>
      <c r="AL25" s="138">
        <v>0</v>
      </c>
      <c r="AM25" s="133">
        <v>0</v>
      </c>
      <c r="AN25" s="138"/>
      <c r="AO25" s="133">
        <v>0</v>
      </c>
      <c r="AP25" s="138"/>
      <c r="AQ25" s="133">
        <v>0</v>
      </c>
      <c r="AR25" s="133">
        <v>0</v>
      </c>
      <c r="AS25" s="138">
        <v>0</v>
      </c>
      <c r="AT25" s="133">
        <v>0</v>
      </c>
      <c r="AU25" s="138">
        <v>0</v>
      </c>
      <c r="AV25" s="133">
        <v>0</v>
      </c>
      <c r="AW25" s="138"/>
      <c r="AX25" s="133">
        <v>0</v>
      </c>
      <c r="AY25" s="133">
        <v>0</v>
      </c>
      <c r="AZ25" s="138"/>
      <c r="BA25" s="133">
        <v>0</v>
      </c>
      <c r="BB25" s="133">
        <v>0</v>
      </c>
      <c r="BC25" s="138">
        <v>0</v>
      </c>
      <c r="BD25" s="133">
        <v>0</v>
      </c>
      <c r="BE25" s="138"/>
      <c r="BF25" s="133">
        <v>0</v>
      </c>
      <c r="BG25" s="138"/>
      <c r="BH25" s="133">
        <v>0</v>
      </c>
      <c r="BI25" s="138"/>
      <c r="BJ25" s="133">
        <v>0</v>
      </c>
      <c r="BK25" s="133">
        <v>0</v>
      </c>
      <c r="BL25" s="138">
        <v>0</v>
      </c>
      <c r="BM25" s="138">
        <v>0</v>
      </c>
      <c r="BN25" s="133">
        <v>0</v>
      </c>
      <c r="BO25" s="133">
        <v>0</v>
      </c>
      <c r="BP25" s="133">
        <v>0</v>
      </c>
      <c r="BQ25" s="133">
        <v>360</v>
      </c>
      <c r="BR25" s="133">
        <v>0</v>
      </c>
      <c r="BS25" s="138">
        <v>0</v>
      </c>
      <c r="BT25" s="138">
        <v>0</v>
      </c>
      <c r="BU25" s="138">
        <v>0</v>
      </c>
      <c r="BV25" s="133">
        <v>0</v>
      </c>
      <c r="BW25" s="133">
        <v>0</v>
      </c>
      <c r="BX25" s="133">
        <v>0</v>
      </c>
      <c r="BY25" s="138">
        <f>-51539.712+2006.38</f>
        <v>-49533.332</v>
      </c>
      <c r="BZ25" s="133">
        <v>0</v>
      </c>
      <c r="CA25" s="138">
        <f t="shared" si="8"/>
        <v>0</v>
      </c>
      <c r="CB25" s="138">
        <v>0</v>
      </c>
      <c r="CC25" s="133"/>
      <c r="CD25" s="133">
        <v>0</v>
      </c>
      <c r="CE25" s="138"/>
      <c r="CF25" s="133">
        <v>0</v>
      </c>
      <c r="CG25" s="133">
        <v>0</v>
      </c>
      <c r="CH25" s="133">
        <v>0</v>
      </c>
      <c r="CI25" s="133">
        <v>0</v>
      </c>
      <c r="CJ25" s="133">
        <v>0</v>
      </c>
      <c r="CK25" s="133">
        <v>0</v>
      </c>
      <c r="CL25" s="133">
        <v>0</v>
      </c>
      <c r="CM25" s="133">
        <v>161.145</v>
      </c>
      <c r="CN25" s="133">
        <v>0</v>
      </c>
      <c r="CO25" s="133">
        <v>0</v>
      </c>
      <c r="CP25" s="133">
        <v>0</v>
      </c>
      <c r="CQ25" s="138">
        <v>0</v>
      </c>
      <c r="CR25" s="133">
        <v>0</v>
      </c>
      <c r="CS25" s="133">
        <v>0</v>
      </c>
      <c r="CT25" s="133"/>
      <c r="CV25" s="30">
        <f t="shared" si="0"/>
        <v>8526.601999999999</v>
      </c>
      <c r="CW25" s="30"/>
      <c r="CX25" s="30">
        <f t="shared" si="1"/>
        <v>161.145</v>
      </c>
      <c r="CY25" s="30">
        <f t="shared" si="2"/>
        <v>8365.456999999999</v>
      </c>
      <c r="CZ25" s="133"/>
      <c r="DA25" s="30">
        <f t="shared" si="3"/>
        <v>0</v>
      </c>
    </row>
    <row r="26" spans="1:105" ht="12.75">
      <c r="A26" s="137" t="s">
        <v>213</v>
      </c>
      <c r="B26" s="133">
        <v>5418193.596</v>
      </c>
      <c r="C26" s="138">
        <v>0</v>
      </c>
      <c r="D26" s="133">
        <v>5254986</v>
      </c>
      <c r="E26" s="138">
        <v>4647630</v>
      </c>
      <c r="F26" s="138">
        <v>599448</v>
      </c>
      <c r="G26" s="138">
        <v>5679</v>
      </c>
      <c r="H26" s="138">
        <v>953</v>
      </c>
      <c r="I26" s="138">
        <v>1276</v>
      </c>
      <c r="J26" s="133">
        <v>3055380.237</v>
      </c>
      <c r="K26" s="138">
        <v>1808.546</v>
      </c>
      <c r="L26" s="133">
        <v>1997015.021</v>
      </c>
      <c r="M26" s="138">
        <v>1993686.905</v>
      </c>
      <c r="N26" s="138">
        <v>3690.255</v>
      </c>
      <c r="O26" s="138">
        <v>-362.139</v>
      </c>
      <c r="P26" s="133">
        <v>1954913.861</v>
      </c>
      <c r="Q26" s="138">
        <v>124.724</v>
      </c>
      <c r="R26" s="133">
        <f>971827.769+43958.52+11907.871+12455.586</f>
        <v>1040149.746</v>
      </c>
      <c r="S26" s="138"/>
      <c r="T26" s="133">
        <v>1517225.955</v>
      </c>
      <c r="U26" s="138">
        <v>0</v>
      </c>
      <c r="V26" s="133">
        <v>244641.169</v>
      </c>
      <c r="W26" s="138">
        <v>202550.563</v>
      </c>
      <c r="X26" s="138">
        <f t="shared" si="9"/>
        <v>42090.606</v>
      </c>
      <c r="Y26" s="133">
        <v>1050851.474</v>
      </c>
      <c r="Z26" s="138"/>
      <c r="AA26" s="133">
        <v>952865.163</v>
      </c>
      <c r="AB26" s="138"/>
      <c r="AC26" s="133">
        <v>25334.211</v>
      </c>
      <c r="AD26" s="133">
        <v>674143.683</v>
      </c>
      <c r="AE26" s="138"/>
      <c r="AF26" s="133">
        <v>343255</v>
      </c>
      <c r="AG26" s="133">
        <v>270025.175</v>
      </c>
      <c r="AH26" s="133">
        <v>-526767.416</v>
      </c>
      <c r="AI26" s="133">
        <v>475672.703</v>
      </c>
      <c r="AJ26" s="138">
        <v>3766</v>
      </c>
      <c r="AK26" s="133">
        <v>662566.374</v>
      </c>
      <c r="AL26" s="138">
        <v>279.629</v>
      </c>
      <c r="AM26" s="133">
        <v>280684.178</v>
      </c>
      <c r="AN26" s="138"/>
      <c r="AO26" s="133">
        <v>61270.448</v>
      </c>
      <c r="AP26" s="138"/>
      <c r="AQ26" s="133">
        <v>488327.386</v>
      </c>
      <c r="AR26" s="133">
        <v>403455.206</v>
      </c>
      <c r="AS26" s="138">
        <v>116.059</v>
      </c>
      <c r="AT26" s="133">
        <v>496339.172</v>
      </c>
      <c r="AU26" s="138">
        <v>47.79</v>
      </c>
      <c r="AV26" s="133">
        <v>-146096</v>
      </c>
      <c r="AW26" s="138"/>
      <c r="AX26" s="133">
        <v>435454.231</v>
      </c>
      <c r="AY26" s="133">
        <v>33735.592</v>
      </c>
      <c r="AZ26" s="138"/>
      <c r="BA26" s="133">
        <v>192317.015</v>
      </c>
      <c r="BB26" s="133">
        <v>-4464.04</v>
      </c>
      <c r="BC26" s="138">
        <f>-4464.04-2133.581</f>
        <v>-6597.621</v>
      </c>
      <c r="BD26" s="133">
        <v>282568.432</v>
      </c>
      <c r="BE26" s="138"/>
      <c r="BF26" s="133">
        <v>106093.739</v>
      </c>
      <c r="BG26" s="138"/>
      <c r="BH26" s="133">
        <f>249100.53+2671.52</f>
        <v>251772.05</v>
      </c>
      <c r="BI26" s="138"/>
      <c r="BJ26" s="133">
        <f>134948.345+10850.53</f>
        <v>145798.875</v>
      </c>
      <c r="BK26" s="133">
        <v>190333.36</v>
      </c>
      <c r="BL26" s="138">
        <v>179817.969</v>
      </c>
      <c r="BM26" s="138">
        <v>10515.391</v>
      </c>
      <c r="BN26" s="133">
        <v>31418.768</v>
      </c>
      <c r="BO26" s="133">
        <v>128656.505</v>
      </c>
      <c r="BP26" s="133">
        <v>-36590.51</v>
      </c>
      <c r="BQ26" s="133">
        <v>150635.689</v>
      </c>
      <c r="BR26" s="133">
        <f>11155.362+4717.373-76420.353+5749.578+887.116+20890.677</f>
        <v>-33020.247</v>
      </c>
      <c r="BS26" s="138">
        <v>-32798.109</v>
      </c>
      <c r="BT26" s="138">
        <v>-4338.218</v>
      </c>
      <c r="BU26" s="138">
        <f>+-420.715-510.495+52.49</f>
        <v>-878.72</v>
      </c>
      <c r="BV26" s="133">
        <v>-32240.105</v>
      </c>
      <c r="BW26" s="133">
        <v>84055.31</v>
      </c>
      <c r="BX26" s="133">
        <v>-51539.712</v>
      </c>
      <c r="BY26" s="138">
        <v>0</v>
      </c>
      <c r="BZ26" s="133">
        <v>87977.96</v>
      </c>
      <c r="CA26" s="138">
        <f t="shared" si="8"/>
        <v>2054.939000000013</v>
      </c>
      <c r="CB26" s="138">
        <v>85923.021</v>
      </c>
      <c r="CC26" s="133">
        <v>91588.334</v>
      </c>
      <c r="CD26" s="133">
        <v>-45539.558</v>
      </c>
      <c r="CE26" s="138"/>
      <c r="CF26" s="133">
        <v>77810.877</v>
      </c>
      <c r="CG26" s="133">
        <f>66928.712+66.763+473.08</f>
        <v>67468.55500000001</v>
      </c>
      <c r="CH26" s="133">
        <v>17281.625</v>
      </c>
      <c r="CI26" s="133">
        <v>43632.02</v>
      </c>
      <c r="CJ26" s="133">
        <v>30141.773</v>
      </c>
      <c r="CK26" s="133">
        <v>19918.014</v>
      </c>
      <c r="CL26" s="133">
        <f>46981.211-147.039</f>
        <v>46834.172000000006</v>
      </c>
      <c r="CM26" s="133">
        <v>21033.709</v>
      </c>
      <c r="CN26" s="133">
        <v>10884.939</v>
      </c>
      <c r="CO26" s="133">
        <v>9525.16</v>
      </c>
      <c r="CP26" s="133">
        <v>9544.407</v>
      </c>
      <c r="CQ26" s="138">
        <v>0</v>
      </c>
      <c r="CR26" s="133">
        <v>6446.457</v>
      </c>
      <c r="CS26" s="133">
        <f>289.236+17.251</f>
        <v>306.48699999999997</v>
      </c>
      <c r="CT26" s="133"/>
      <c r="CV26" s="30">
        <f t="shared" si="0"/>
        <v>28364272.224999983</v>
      </c>
      <c r="CW26" s="30"/>
      <c r="CX26" s="30">
        <f t="shared" si="1"/>
        <v>6282855.522</v>
      </c>
      <c r="CY26" s="30">
        <f t="shared" si="2"/>
        <v>22081416.70299999</v>
      </c>
      <c r="CZ26" s="133"/>
      <c r="DA26" s="30">
        <f t="shared" si="3"/>
        <v>0</v>
      </c>
    </row>
    <row r="27" spans="1:105" ht="12.75">
      <c r="A27" s="137" t="s">
        <v>270</v>
      </c>
      <c r="B27" s="133">
        <v>0</v>
      </c>
      <c r="C27" s="138">
        <v>0</v>
      </c>
      <c r="D27" s="133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0</v>
      </c>
      <c r="J27" s="133">
        <v>0</v>
      </c>
      <c r="K27" s="138">
        <v>0</v>
      </c>
      <c r="L27" s="133">
        <v>0</v>
      </c>
      <c r="M27" s="138">
        <v>0</v>
      </c>
      <c r="N27" s="138">
        <v>0</v>
      </c>
      <c r="O27" s="138">
        <v>0</v>
      </c>
      <c r="P27" s="133">
        <v>0</v>
      </c>
      <c r="Q27" s="138">
        <v>0</v>
      </c>
      <c r="R27" s="133">
        <v>0</v>
      </c>
      <c r="S27" s="138"/>
      <c r="T27" s="133">
        <v>0</v>
      </c>
      <c r="U27" s="138">
        <v>0</v>
      </c>
      <c r="V27" s="133">
        <v>0</v>
      </c>
      <c r="W27" s="138">
        <v>0</v>
      </c>
      <c r="X27" s="138">
        <f t="shared" si="9"/>
        <v>0</v>
      </c>
      <c r="Y27" s="133">
        <v>0</v>
      </c>
      <c r="Z27" s="138"/>
      <c r="AA27" s="133">
        <v>0</v>
      </c>
      <c r="AB27" s="138"/>
      <c r="AC27" s="133">
        <v>0</v>
      </c>
      <c r="AD27" s="133">
        <v>0</v>
      </c>
      <c r="AE27" s="138"/>
      <c r="AF27" s="133">
        <v>0</v>
      </c>
      <c r="AG27" s="133">
        <v>0</v>
      </c>
      <c r="AH27" s="133">
        <v>0</v>
      </c>
      <c r="AI27" s="133">
        <v>0</v>
      </c>
      <c r="AJ27" s="138">
        <v>0</v>
      </c>
      <c r="AK27" s="133">
        <v>0</v>
      </c>
      <c r="AL27" s="138">
        <v>0</v>
      </c>
      <c r="AM27" s="133">
        <v>0</v>
      </c>
      <c r="AN27" s="138"/>
      <c r="AO27" s="133">
        <v>0</v>
      </c>
      <c r="AP27" s="138"/>
      <c r="AQ27" s="133">
        <v>0</v>
      </c>
      <c r="AR27" s="133">
        <v>0</v>
      </c>
      <c r="AS27" s="138">
        <v>0</v>
      </c>
      <c r="AT27" s="133">
        <v>0</v>
      </c>
      <c r="AU27" s="138">
        <v>0</v>
      </c>
      <c r="AV27" s="133">
        <v>0</v>
      </c>
      <c r="AW27" s="138"/>
      <c r="AX27" s="133">
        <v>0</v>
      </c>
      <c r="AY27" s="133">
        <v>0</v>
      </c>
      <c r="AZ27" s="138"/>
      <c r="BA27" s="133">
        <v>0</v>
      </c>
      <c r="BB27" s="133">
        <v>0</v>
      </c>
      <c r="BC27" s="138">
        <v>0</v>
      </c>
      <c r="BD27" s="133">
        <v>0</v>
      </c>
      <c r="BE27" s="138"/>
      <c r="BF27" s="133"/>
      <c r="BG27" s="138"/>
      <c r="BH27" s="133">
        <v>0</v>
      </c>
      <c r="BI27" s="138"/>
      <c r="BJ27" s="133">
        <v>0</v>
      </c>
      <c r="BK27" s="133">
        <v>0</v>
      </c>
      <c r="BL27" s="138">
        <v>0</v>
      </c>
      <c r="BM27" s="138">
        <v>0</v>
      </c>
      <c r="BN27" s="133">
        <v>0</v>
      </c>
      <c r="BO27" s="133">
        <v>0</v>
      </c>
      <c r="BP27" s="133">
        <v>0</v>
      </c>
      <c r="BQ27" s="133">
        <v>-870.441</v>
      </c>
      <c r="BR27" s="133">
        <v>0</v>
      </c>
      <c r="BS27" s="138">
        <v>0</v>
      </c>
      <c r="BT27" s="138">
        <v>0</v>
      </c>
      <c r="BU27" s="138">
        <v>0</v>
      </c>
      <c r="BV27" s="133">
        <v>0</v>
      </c>
      <c r="BW27" s="133">
        <v>0</v>
      </c>
      <c r="BX27" s="133">
        <v>0</v>
      </c>
      <c r="BY27" s="138">
        <v>0</v>
      </c>
      <c r="BZ27" s="133">
        <v>0</v>
      </c>
      <c r="CA27" s="138">
        <f t="shared" si="8"/>
        <v>0</v>
      </c>
      <c r="CB27" s="138">
        <v>0</v>
      </c>
      <c r="CC27" s="133">
        <v>0</v>
      </c>
      <c r="CD27" s="133">
        <v>0</v>
      </c>
      <c r="CE27" s="138"/>
      <c r="CF27" s="133">
        <v>0</v>
      </c>
      <c r="CG27" s="133">
        <v>0</v>
      </c>
      <c r="CH27" s="133">
        <v>0</v>
      </c>
      <c r="CI27" s="133">
        <v>0</v>
      </c>
      <c r="CJ27" s="133">
        <v>0</v>
      </c>
      <c r="CK27" s="133">
        <v>0</v>
      </c>
      <c r="CL27" s="133">
        <v>0</v>
      </c>
      <c r="CM27" s="133">
        <v>0</v>
      </c>
      <c r="CN27" s="133">
        <v>0</v>
      </c>
      <c r="CO27" s="133">
        <v>0</v>
      </c>
      <c r="CP27" s="133">
        <v>0</v>
      </c>
      <c r="CQ27" s="138">
        <v>0</v>
      </c>
      <c r="CR27" s="133">
        <v>0</v>
      </c>
      <c r="CS27" s="133">
        <v>0</v>
      </c>
      <c r="CT27" s="133"/>
      <c r="CV27" s="30">
        <f t="shared" si="0"/>
        <v>-870.441</v>
      </c>
      <c r="CW27" s="30"/>
      <c r="CX27" s="30">
        <f t="shared" si="1"/>
        <v>0</v>
      </c>
      <c r="CY27" s="30">
        <f t="shared" si="2"/>
        <v>-870.441</v>
      </c>
      <c r="CZ27" s="133"/>
      <c r="DA27" s="30">
        <f t="shared" si="3"/>
        <v>0</v>
      </c>
    </row>
    <row r="28" spans="1:105" ht="12.75">
      <c r="A28" s="137" t="s">
        <v>212</v>
      </c>
      <c r="B28" s="133">
        <v>0</v>
      </c>
      <c r="C28" s="138">
        <v>0</v>
      </c>
      <c r="D28" s="133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3">
        <v>10259.533</v>
      </c>
      <c r="K28" s="138">
        <v>0</v>
      </c>
      <c r="L28" s="133">
        <v>0</v>
      </c>
      <c r="M28" s="138">
        <v>0</v>
      </c>
      <c r="N28" s="138">
        <v>0</v>
      </c>
      <c r="O28" s="138">
        <v>0</v>
      </c>
      <c r="P28" s="133">
        <v>0</v>
      </c>
      <c r="Q28" s="138">
        <v>0</v>
      </c>
      <c r="R28" s="133">
        <v>0</v>
      </c>
      <c r="S28" s="138"/>
      <c r="T28" s="133">
        <v>0</v>
      </c>
      <c r="U28" s="138">
        <v>0</v>
      </c>
      <c r="V28" s="133">
        <v>0</v>
      </c>
      <c r="W28" s="138">
        <v>0</v>
      </c>
      <c r="X28" s="138">
        <f t="shared" si="9"/>
        <v>0</v>
      </c>
      <c r="Y28" s="133">
        <v>0</v>
      </c>
      <c r="Z28" s="138"/>
      <c r="AA28" s="133">
        <v>0</v>
      </c>
      <c r="AB28" s="138"/>
      <c r="AC28" s="133">
        <v>0</v>
      </c>
      <c r="AD28" s="133">
        <v>0</v>
      </c>
      <c r="AE28" s="138"/>
      <c r="AF28" s="133">
        <v>0</v>
      </c>
      <c r="AG28" s="133">
        <v>0</v>
      </c>
      <c r="AH28" s="133">
        <v>0</v>
      </c>
      <c r="AI28" s="133">
        <v>0</v>
      </c>
      <c r="AJ28" s="138">
        <v>0</v>
      </c>
      <c r="AK28" s="133">
        <v>0</v>
      </c>
      <c r="AL28" s="138">
        <v>0</v>
      </c>
      <c r="AM28" s="133">
        <v>0</v>
      </c>
      <c r="AN28" s="138"/>
      <c r="AO28" s="133">
        <v>0</v>
      </c>
      <c r="AP28" s="138"/>
      <c r="AQ28" s="133">
        <v>0</v>
      </c>
      <c r="AR28" s="133">
        <v>0</v>
      </c>
      <c r="AS28" s="138">
        <v>0</v>
      </c>
      <c r="AT28" s="133">
        <v>0</v>
      </c>
      <c r="AU28" s="138">
        <v>0</v>
      </c>
      <c r="AV28" s="133">
        <v>0</v>
      </c>
      <c r="AW28" s="138"/>
      <c r="AX28" s="133">
        <v>0</v>
      </c>
      <c r="AY28" s="133">
        <v>0</v>
      </c>
      <c r="AZ28" s="138"/>
      <c r="BA28" s="133">
        <v>0</v>
      </c>
      <c r="BB28" s="133">
        <v>0</v>
      </c>
      <c r="BC28" s="138">
        <v>0</v>
      </c>
      <c r="BD28" s="133">
        <v>0</v>
      </c>
      <c r="BE28" s="138"/>
      <c r="BF28" s="133">
        <v>0</v>
      </c>
      <c r="BG28" s="138"/>
      <c r="BH28" s="133">
        <v>0</v>
      </c>
      <c r="BI28" s="138"/>
      <c r="BJ28" s="133">
        <v>0</v>
      </c>
      <c r="BK28" s="133">
        <v>0</v>
      </c>
      <c r="BL28" s="138">
        <v>0</v>
      </c>
      <c r="BM28" s="138">
        <v>0</v>
      </c>
      <c r="BN28" s="133">
        <v>0</v>
      </c>
      <c r="BO28" s="133">
        <v>0</v>
      </c>
      <c r="BP28" s="133">
        <v>0</v>
      </c>
      <c r="BQ28" s="133">
        <v>0</v>
      </c>
      <c r="BR28" s="133">
        <v>0</v>
      </c>
      <c r="BS28" s="138">
        <v>0</v>
      </c>
      <c r="BT28" s="138">
        <v>0</v>
      </c>
      <c r="BU28" s="138">
        <v>0</v>
      </c>
      <c r="BV28" s="133">
        <v>0</v>
      </c>
      <c r="BW28" s="133">
        <v>0</v>
      </c>
      <c r="BX28" s="133">
        <v>0</v>
      </c>
      <c r="BY28" s="138">
        <v>0</v>
      </c>
      <c r="BZ28" s="133">
        <v>0</v>
      </c>
      <c r="CA28" s="138">
        <f t="shared" si="8"/>
        <v>0</v>
      </c>
      <c r="CB28" s="138">
        <v>0</v>
      </c>
      <c r="CC28" s="133">
        <v>0</v>
      </c>
      <c r="CD28" s="133">
        <v>0</v>
      </c>
      <c r="CE28" s="138"/>
      <c r="CF28" s="133">
        <v>0</v>
      </c>
      <c r="CG28" s="133">
        <v>0</v>
      </c>
      <c r="CH28" s="133">
        <v>0</v>
      </c>
      <c r="CI28" s="133">
        <v>0</v>
      </c>
      <c r="CJ28" s="133">
        <v>0</v>
      </c>
      <c r="CK28" s="133">
        <v>0</v>
      </c>
      <c r="CL28" s="133">
        <v>0</v>
      </c>
      <c r="CM28" s="133">
        <v>0</v>
      </c>
      <c r="CN28" s="133">
        <v>0</v>
      </c>
      <c r="CO28" s="133">
        <v>0</v>
      </c>
      <c r="CP28" s="133">
        <v>0</v>
      </c>
      <c r="CQ28" s="138">
        <v>0</v>
      </c>
      <c r="CR28" s="133">
        <v>0</v>
      </c>
      <c r="CS28" s="133">
        <v>0</v>
      </c>
      <c r="CT28" s="133"/>
      <c r="CV28" s="30">
        <f t="shared" si="0"/>
        <v>10259.533</v>
      </c>
      <c r="CW28" s="30"/>
      <c r="CX28" s="30">
        <f t="shared" si="1"/>
        <v>0</v>
      </c>
      <c r="CY28" s="30">
        <f t="shared" si="2"/>
        <v>10259.533</v>
      </c>
      <c r="CZ28" s="133"/>
      <c r="DA28" s="30">
        <f t="shared" si="3"/>
        <v>0</v>
      </c>
    </row>
    <row r="29" spans="1:105" ht="12.75">
      <c r="A29" s="137" t="s">
        <v>331</v>
      </c>
      <c r="B29" s="133">
        <v>0</v>
      </c>
      <c r="C29" s="138">
        <v>0</v>
      </c>
      <c r="D29" s="133">
        <v>-3800</v>
      </c>
      <c r="E29" s="138">
        <v>-3800</v>
      </c>
      <c r="F29" s="138">
        <v>0</v>
      </c>
      <c r="G29" s="138">
        <v>0</v>
      </c>
      <c r="H29" s="138">
        <v>0</v>
      </c>
      <c r="I29" s="138">
        <v>0</v>
      </c>
      <c r="J29" s="133">
        <v>-27000</v>
      </c>
      <c r="K29" s="138">
        <v>0</v>
      </c>
      <c r="L29" s="133">
        <v>1013.916</v>
      </c>
      <c r="M29" s="138">
        <v>1013.916</v>
      </c>
      <c r="N29" s="138">
        <v>0</v>
      </c>
      <c r="O29" s="138">
        <v>0</v>
      </c>
      <c r="P29" s="133">
        <v>-10393.517</v>
      </c>
      <c r="Q29" s="138">
        <v>0</v>
      </c>
      <c r="R29" s="133">
        <v>0</v>
      </c>
      <c r="S29" s="138"/>
      <c r="T29" s="133">
        <v>0</v>
      </c>
      <c r="U29" s="138">
        <v>0</v>
      </c>
      <c r="V29" s="133">
        <v>0</v>
      </c>
      <c r="W29" s="138">
        <v>0</v>
      </c>
      <c r="X29" s="138">
        <f t="shared" si="9"/>
        <v>0</v>
      </c>
      <c r="Y29" s="133">
        <v>21763.496</v>
      </c>
      <c r="Z29" s="138"/>
      <c r="AA29" s="133">
        <v>0</v>
      </c>
      <c r="AB29" s="138"/>
      <c r="AC29" s="133">
        <v>-6670.49</v>
      </c>
      <c r="AD29" s="133">
        <v>-15282.024</v>
      </c>
      <c r="AE29" s="138"/>
      <c r="AF29" s="133">
        <v>-78</v>
      </c>
      <c r="AG29" s="133">
        <v>-2866.422</v>
      </c>
      <c r="AH29" s="133">
        <v>-5000</v>
      </c>
      <c r="AI29" s="133">
        <v>0</v>
      </c>
      <c r="AJ29" s="138">
        <v>0</v>
      </c>
      <c r="AK29" s="133">
        <v>0</v>
      </c>
      <c r="AL29" s="138">
        <v>0</v>
      </c>
      <c r="AM29" s="133">
        <v>-19430</v>
      </c>
      <c r="AN29" s="138"/>
      <c r="AO29" s="133">
        <v>0</v>
      </c>
      <c r="AP29" s="138"/>
      <c r="AQ29" s="133">
        <v>0</v>
      </c>
      <c r="AR29" s="133">
        <v>2875.539</v>
      </c>
      <c r="AS29" s="138">
        <v>0.827</v>
      </c>
      <c r="AT29" s="133">
        <v>-3316.264</v>
      </c>
      <c r="AU29" s="138">
        <v>0</v>
      </c>
      <c r="AV29" s="133">
        <v>0</v>
      </c>
      <c r="AW29" s="138"/>
      <c r="AX29" s="133">
        <v>0</v>
      </c>
      <c r="AY29" s="133">
        <v>0</v>
      </c>
      <c r="AZ29" s="138"/>
      <c r="BA29" s="133">
        <v>-10000</v>
      </c>
      <c r="BB29" s="133">
        <v>0</v>
      </c>
      <c r="BC29" s="138">
        <v>0</v>
      </c>
      <c r="BD29" s="133">
        <v>-8140.689</v>
      </c>
      <c r="BE29" s="138"/>
      <c r="BF29" s="133">
        <v>0</v>
      </c>
      <c r="BG29" s="138"/>
      <c r="BH29" s="133">
        <v>0</v>
      </c>
      <c r="BI29" s="138"/>
      <c r="BJ29" s="133">
        <v>-4765.6</v>
      </c>
      <c r="BK29" s="133">
        <v>0</v>
      </c>
      <c r="BL29" s="138">
        <v>0</v>
      </c>
      <c r="BM29" s="138">
        <v>0</v>
      </c>
      <c r="BN29" s="133">
        <v>0</v>
      </c>
      <c r="BO29" s="133">
        <v>456.327</v>
      </c>
      <c r="BP29" s="133">
        <v>0</v>
      </c>
      <c r="BQ29" s="133">
        <v>0</v>
      </c>
      <c r="BR29" s="133">
        <v>-3914.316</v>
      </c>
      <c r="BS29" s="138">
        <v>0</v>
      </c>
      <c r="BT29" s="138">
        <v>0</v>
      </c>
      <c r="BU29" s="138">
        <v>0</v>
      </c>
      <c r="BV29" s="133">
        <v>0</v>
      </c>
      <c r="BW29" s="133">
        <v>0</v>
      </c>
      <c r="BX29" s="133">
        <v>0</v>
      </c>
      <c r="BY29" s="138">
        <v>0</v>
      </c>
      <c r="BZ29" s="133">
        <v>-6324.966</v>
      </c>
      <c r="CA29" s="138">
        <f t="shared" si="8"/>
        <v>-407.9360000000006</v>
      </c>
      <c r="CB29" s="138">
        <v>-5917.03</v>
      </c>
      <c r="CC29" s="133">
        <v>-3361.054</v>
      </c>
      <c r="CD29" s="133">
        <v>0</v>
      </c>
      <c r="CE29" s="138"/>
      <c r="CF29" s="133">
        <v>0</v>
      </c>
      <c r="CG29" s="133">
        <v>-400</v>
      </c>
      <c r="CH29" s="133">
        <v>0</v>
      </c>
      <c r="CI29" s="133">
        <v>-337.729</v>
      </c>
      <c r="CJ29" s="133">
        <v>0</v>
      </c>
      <c r="CK29" s="133">
        <v>0</v>
      </c>
      <c r="CL29" s="133">
        <v>0</v>
      </c>
      <c r="CM29" s="133">
        <v>0</v>
      </c>
      <c r="CN29" s="133">
        <v>0</v>
      </c>
      <c r="CO29" s="133">
        <v>80</v>
      </c>
      <c r="CP29" s="133">
        <v>0</v>
      </c>
      <c r="CQ29" s="138">
        <v>0</v>
      </c>
      <c r="CR29" s="133">
        <v>0</v>
      </c>
      <c r="CS29" s="133">
        <v>0</v>
      </c>
      <c r="CT29" s="133"/>
      <c r="CV29" s="30">
        <f t="shared" si="0"/>
        <v>-104891.79300000002</v>
      </c>
      <c r="CW29" s="30"/>
      <c r="CX29" s="30">
        <f t="shared" si="1"/>
        <v>-19124.882</v>
      </c>
      <c r="CY29" s="30">
        <f t="shared" si="2"/>
        <v>-85766.91100000001</v>
      </c>
      <c r="CZ29" s="133"/>
      <c r="DA29" s="30">
        <f t="shared" si="3"/>
        <v>0</v>
      </c>
    </row>
    <row r="30" spans="1:105" ht="12.75">
      <c r="A30" s="137" t="s">
        <v>332</v>
      </c>
      <c r="B30" s="133">
        <v>0</v>
      </c>
      <c r="C30" s="138">
        <v>11544.88</v>
      </c>
      <c r="D30" s="133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3">
        <v>0</v>
      </c>
      <c r="K30" s="138">
        <v>0</v>
      </c>
      <c r="L30" s="133">
        <v>0</v>
      </c>
      <c r="M30" s="138">
        <v>0</v>
      </c>
      <c r="N30" s="138">
        <v>0</v>
      </c>
      <c r="O30" s="138">
        <v>0</v>
      </c>
      <c r="P30" s="133">
        <v>0</v>
      </c>
      <c r="Q30" s="138">
        <v>0</v>
      </c>
      <c r="R30" s="133">
        <v>6213.071</v>
      </c>
      <c r="S30" s="138"/>
      <c r="T30" s="133">
        <v>0</v>
      </c>
      <c r="U30" s="138">
        <v>0</v>
      </c>
      <c r="V30" s="133">
        <v>0</v>
      </c>
      <c r="W30" s="138">
        <v>0</v>
      </c>
      <c r="X30" s="138">
        <f t="shared" si="9"/>
        <v>0</v>
      </c>
      <c r="Y30" s="133">
        <v>0</v>
      </c>
      <c r="Z30" s="138"/>
      <c r="AA30" s="133">
        <v>0</v>
      </c>
      <c r="AB30" s="138"/>
      <c r="AC30" s="133">
        <v>0</v>
      </c>
      <c r="AD30" s="133">
        <v>0</v>
      </c>
      <c r="AE30" s="138"/>
      <c r="AF30" s="133">
        <v>0</v>
      </c>
      <c r="AG30" s="133">
        <v>0</v>
      </c>
      <c r="AH30" s="133">
        <v>0</v>
      </c>
      <c r="AI30" s="133">
        <v>0</v>
      </c>
      <c r="AJ30" s="138">
        <v>0</v>
      </c>
      <c r="AK30" s="133">
        <v>0</v>
      </c>
      <c r="AL30" s="138">
        <v>0</v>
      </c>
      <c r="AM30" s="133">
        <v>0</v>
      </c>
      <c r="AN30" s="138"/>
      <c r="AO30" s="133">
        <v>0</v>
      </c>
      <c r="AP30" s="138"/>
      <c r="AQ30" s="133">
        <v>0</v>
      </c>
      <c r="AR30" s="133">
        <v>0</v>
      </c>
      <c r="AS30" s="138">
        <v>0</v>
      </c>
      <c r="AT30" s="133">
        <v>0</v>
      </c>
      <c r="AU30" s="138">
        <v>0</v>
      </c>
      <c r="AV30" s="133">
        <v>0</v>
      </c>
      <c r="AW30" s="138"/>
      <c r="AX30" s="133">
        <v>0</v>
      </c>
      <c r="AY30" s="133">
        <v>0</v>
      </c>
      <c r="AZ30" s="138"/>
      <c r="BA30" s="133">
        <v>0</v>
      </c>
      <c r="BB30" s="133">
        <v>0</v>
      </c>
      <c r="BC30" s="138">
        <v>0</v>
      </c>
      <c r="BD30" s="133">
        <v>0</v>
      </c>
      <c r="BE30" s="138"/>
      <c r="BF30" s="133">
        <v>0</v>
      </c>
      <c r="BG30" s="138"/>
      <c r="BH30" s="133">
        <v>0</v>
      </c>
      <c r="BI30" s="138"/>
      <c r="BJ30" s="133">
        <v>0</v>
      </c>
      <c r="BK30" s="133">
        <v>0</v>
      </c>
      <c r="BL30" s="138">
        <v>0</v>
      </c>
      <c r="BM30" s="138">
        <v>0</v>
      </c>
      <c r="BN30" s="133">
        <v>0</v>
      </c>
      <c r="BO30" s="133">
        <v>0</v>
      </c>
      <c r="BP30" s="133">
        <v>0</v>
      </c>
      <c r="BQ30" s="133">
        <v>0</v>
      </c>
      <c r="BR30" s="133">
        <f>202.157+1634.635</f>
        <v>1836.792</v>
      </c>
      <c r="BS30" s="138">
        <v>0</v>
      </c>
      <c r="BT30" s="138">
        <v>0</v>
      </c>
      <c r="BU30" s="138">
        <v>0</v>
      </c>
      <c r="BV30" s="133">
        <v>0</v>
      </c>
      <c r="BW30" s="133">
        <v>0</v>
      </c>
      <c r="BX30" s="133">
        <v>0</v>
      </c>
      <c r="BY30" s="138">
        <v>0</v>
      </c>
      <c r="BZ30" s="133">
        <v>0</v>
      </c>
      <c r="CA30" s="138">
        <f t="shared" si="8"/>
        <v>0</v>
      </c>
      <c r="CB30" s="138">
        <v>0</v>
      </c>
      <c r="CC30" s="133">
        <v>0</v>
      </c>
      <c r="CD30" s="133">
        <v>0</v>
      </c>
      <c r="CE30" s="138"/>
      <c r="CF30" s="133">
        <v>1571.703</v>
      </c>
      <c r="CG30" s="133">
        <v>0</v>
      </c>
      <c r="CH30" s="133">
        <v>0</v>
      </c>
      <c r="CI30" s="133">
        <v>0</v>
      </c>
      <c r="CJ30" s="133">
        <v>0</v>
      </c>
      <c r="CK30" s="133">
        <v>0</v>
      </c>
      <c r="CL30" s="133">
        <v>0</v>
      </c>
      <c r="CM30" s="133">
        <v>0</v>
      </c>
      <c r="CN30" s="133">
        <v>0</v>
      </c>
      <c r="CO30" s="133">
        <v>0</v>
      </c>
      <c r="CP30" s="133">
        <v>0</v>
      </c>
      <c r="CQ30" s="138">
        <v>0</v>
      </c>
      <c r="CR30" s="133">
        <v>0</v>
      </c>
      <c r="CS30" s="133">
        <v>0</v>
      </c>
      <c r="CT30" s="133"/>
      <c r="CV30" s="30">
        <f t="shared" si="0"/>
        <v>9621.565999999999</v>
      </c>
      <c r="CW30" s="30"/>
      <c r="CX30" s="30">
        <f t="shared" si="1"/>
        <v>3408.495</v>
      </c>
      <c r="CY30" s="30">
        <f t="shared" si="2"/>
        <v>6213.071</v>
      </c>
      <c r="CZ30" s="133"/>
      <c r="DA30" s="30">
        <f t="shared" si="3"/>
        <v>0</v>
      </c>
    </row>
    <row r="31" spans="1:105" ht="12.75">
      <c r="A31" s="137" t="s">
        <v>211</v>
      </c>
      <c r="B31" s="133">
        <v>-3304536.889</v>
      </c>
      <c r="C31" s="138">
        <v>0</v>
      </c>
      <c r="D31" s="133">
        <v>-2700552</v>
      </c>
      <c r="E31" s="138">
        <v>-2291942</v>
      </c>
      <c r="F31" s="138">
        <v>-388560</v>
      </c>
      <c r="G31" s="138">
        <v>-2268</v>
      </c>
      <c r="H31" s="138">
        <v>-388</v>
      </c>
      <c r="I31" s="138">
        <v>-17394</v>
      </c>
      <c r="J31" s="133">
        <v>-1905756.772</v>
      </c>
      <c r="K31" s="138">
        <v>-1174.709</v>
      </c>
      <c r="L31" s="133">
        <v>-1662677.062</v>
      </c>
      <c r="M31" s="138">
        <v>-1658856.974</v>
      </c>
      <c r="N31" s="138">
        <v>-2088.041</v>
      </c>
      <c r="O31" s="138">
        <v>-1732.047</v>
      </c>
      <c r="P31" s="133">
        <v>-1634656.604</v>
      </c>
      <c r="Q31" s="138">
        <v>-78.876</v>
      </c>
      <c r="R31" s="133">
        <v>-779321.142</v>
      </c>
      <c r="S31" s="138"/>
      <c r="T31" s="133">
        <v>-691610.317</v>
      </c>
      <c r="U31" s="138">
        <v>0</v>
      </c>
      <c r="V31" s="133">
        <v>-711388.949</v>
      </c>
      <c r="W31" s="138">
        <v>-616153.255</v>
      </c>
      <c r="X31" s="138">
        <f t="shared" si="9"/>
        <v>-95235.69400000002</v>
      </c>
      <c r="Y31" s="133">
        <v>-627286.622</v>
      </c>
      <c r="Z31" s="138"/>
      <c r="AA31" s="133">
        <v>-562187.124</v>
      </c>
      <c r="AB31" s="138"/>
      <c r="AC31" s="133">
        <v>-557810.661</v>
      </c>
      <c r="AD31" s="133">
        <v>-499526.791</v>
      </c>
      <c r="AE31" s="138"/>
      <c r="AF31" s="133">
        <v>-473115</v>
      </c>
      <c r="AG31" s="133">
        <v>-469173.725</v>
      </c>
      <c r="AH31" s="133">
        <v>-442682.217</v>
      </c>
      <c r="AI31" s="133">
        <v>-428380.011</v>
      </c>
      <c r="AJ31" s="138">
        <v>0</v>
      </c>
      <c r="AK31" s="133">
        <v>-396968.543</v>
      </c>
      <c r="AL31" s="138">
        <v>-103.894</v>
      </c>
      <c r="AM31" s="133">
        <v>-331005.704</v>
      </c>
      <c r="AN31" s="138"/>
      <c r="AO31" s="133">
        <v>-304808.919</v>
      </c>
      <c r="AP31" s="138"/>
      <c r="AQ31" s="133">
        <v>-272361.618</v>
      </c>
      <c r="AR31" s="133">
        <v>-286870.925</v>
      </c>
      <c r="AS31" s="138">
        <v>-82.522</v>
      </c>
      <c r="AT31" s="133">
        <v>-263347.443</v>
      </c>
      <c r="AU31" s="138">
        <v>-52.177</v>
      </c>
      <c r="AV31" s="133">
        <v>-238200</v>
      </c>
      <c r="AW31" s="138"/>
      <c r="AX31" s="133">
        <v>-246824.716</v>
      </c>
      <c r="AY31" s="133">
        <v>-217182.848</v>
      </c>
      <c r="AZ31" s="138"/>
      <c r="BA31" s="133">
        <v>-207074.78</v>
      </c>
      <c r="BB31" s="133">
        <v>-148684.061</v>
      </c>
      <c r="BC31" s="138">
        <f>-148684.061+2777.776</f>
        <v>-145906.28499999997</v>
      </c>
      <c r="BD31" s="133">
        <v>-128490.794</v>
      </c>
      <c r="BE31" s="138"/>
      <c r="BF31" s="133">
        <v>-123717.192</v>
      </c>
      <c r="BG31" s="138"/>
      <c r="BH31" s="133">
        <v>-120385.688</v>
      </c>
      <c r="BI31" s="138"/>
      <c r="BJ31" s="133">
        <v>-123271.623</v>
      </c>
      <c r="BK31" s="133">
        <v>-108354.376</v>
      </c>
      <c r="BL31" s="138">
        <v>-98946.426</v>
      </c>
      <c r="BM31" s="138">
        <v>-9407.95</v>
      </c>
      <c r="BN31" s="133">
        <v>-101034.447</v>
      </c>
      <c r="BO31" s="133">
        <v>-79915.27</v>
      </c>
      <c r="BP31" s="133">
        <v>-80865.589</v>
      </c>
      <c r="BQ31" s="133">
        <v>-71103.023</v>
      </c>
      <c r="BR31" s="133">
        <v>-39196.158</v>
      </c>
      <c r="BS31" s="138">
        <v>-34068.229</v>
      </c>
      <c r="BT31" s="138">
        <v>-4617.886</v>
      </c>
      <c r="BU31" s="138">
        <v>-510.043</v>
      </c>
      <c r="BV31" s="133">
        <v>-60621.263</v>
      </c>
      <c r="BW31" s="133">
        <v>-53137.275</v>
      </c>
      <c r="BX31" s="133">
        <v>-47688.322</v>
      </c>
      <c r="BY31" s="138">
        <f>-47688.322+4239.492</f>
        <v>-43448.83</v>
      </c>
      <c r="BZ31" s="133">
        <v>-49050.6</v>
      </c>
      <c r="CA31" s="138">
        <f t="shared" si="8"/>
        <v>-3328.851999999999</v>
      </c>
      <c r="CB31" s="138">
        <v>-45721.748</v>
      </c>
      <c r="CC31" s="133">
        <v>-47716.494</v>
      </c>
      <c r="CD31" s="133">
        <v>-43638.758</v>
      </c>
      <c r="CE31" s="138"/>
      <c r="CF31" s="133">
        <v>-41707.695</v>
      </c>
      <c r="CG31" s="133">
        <v>-30141.304</v>
      </c>
      <c r="CH31" s="133">
        <v>-26754.162</v>
      </c>
      <c r="CI31" s="133">
        <v>-23464.208</v>
      </c>
      <c r="CJ31" s="133">
        <v>-18724.138</v>
      </c>
      <c r="CK31" s="133">
        <v>-18653.97</v>
      </c>
      <c r="CL31" s="133">
        <v>-16813</v>
      </c>
      <c r="CM31" s="133">
        <v>-11411.046</v>
      </c>
      <c r="CN31" s="133">
        <v>-6732.729</v>
      </c>
      <c r="CO31" s="133">
        <v>-5070.444</v>
      </c>
      <c r="CP31" s="133">
        <v>-1532.322</v>
      </c>
      <c r="CQ31" s="138">
        <v>0</v>
      </c>
      <c r="CR31" s="133">
        <v>-3416.174</v>
      </c>
      <c r="CS31" s="133">
        <v>-356.482</v>
      </c>
      <c r="CT31" s="133"/>
      <c r="CV31" s="30">
        <f t="shared" si="0"/>
        <v>-21846955.989</v>
      </c>
      <c r="CW31" s="30"/>
      <c r="CX31" s="30">
        <f t="shared" si="1"/>
        <v>-3455807.2509999997</v>
      </c>
      <c r="CY31" s="30">
        <f t="shared" si="2"/>
        <v>-18391148.738</v>
      </c>
      <c r="CZ31" s="133"/>
      <c r="DA31" s="30">
        <f t="shared" si="3"/>
        <v>0</v>
      </c>
    </row>
    <row r="32" spans="1:105" ht="4.5" customHeight="1">
      <c r="A32" s="139"/>
      <c r="BR32" s="133"/>
      <c r="CV32" s="30"/>
      <c r="CW32" s="30"/>
      <c r="CX32" s="30"/>
      <c r="CY32" s="30"/>
      <c r="DA32" s="30">
        <f t="shared" si="3"/>
        <v>0</v>
      </c>
    </row>
    <row r="33" spans="1:109" ht="12.75">
      <c r="A33" s="140" t="s">
        <v>223</v>
      </c>
      <c r="B33" s="30">
        <f aca="true" t="shared" si="10" ref="B33:BM33">SUM(B22:B31)</f>
        <v>1050417.7549999994</v>
      </c>
      <c r="C33" s="103">
        <f>SUM(C22:C31)</f>
        <v>11544.88</v>
      </c>
      <c r="D33" s="30">
        <f t="shared" si="10"/>
        <v>1242761</v>
      </c>
      <c r="E33" s="103">
        <f>SUM(E22:E31)-1</f>
        <v>1428352</v>
      </c>
      <c r="F33" s="103">
        <f t="shared" si="10"/>
        <v>-131913</v>
      </c>
      <c r="G33" s="103">
        <f>SUM(G22:G31)-1</f>
        <v>3410</v>
      </c>
      <c r="H33" s="103">
        <f t="shared" si="10"/>
        <v>565</v>
      </c>
      <c r="I33" s="103">
        <f>SUM(I22:I31)</f>
        <v>-57654</v>
      </c>
      <c r="J33" s="30">
        <f t="shared" si="10"/>
        <v>-138969.8559999999</v>
      </c>
      <c r="K33" s="103">
        <f>SUM(K22:K31)</f>
        <v>1859.6789999999999</v>
      </c>
      <c r="L33" s="30">
        <f t="shared" si="10"/>
        <v>-162970.80000000005</v>
      </c>
      <c r="M33" s="103">
        <f t="shared" si="10"/>
        <v>-162478.82799999998</v>
      </c>
      <c r="N33" s="103">
        <f t="shared" si="10"/>
        <v>1602.214</v>
      </c>
      <c r="O33" s="103">
        <f>SUM(O22:O31)</f>
        <v>-2094.186</v>
      </c>
      <c r="P33" s="30">
        <f t="shared" si="10"/>
        <v>-135683.10199999996</v>
      </c>
      <c r="Q33" s="103">
        <f>SUM(Q22:Q31)</f>
        <v>45.848</v>
      </c>
      <c r="R33" s="30">
        <f t="shared" si="10"/>
        <v>-437739.6399999999</v>
      </c>
      <c r="S33" s="103">
        <v>892.715</v>
      </c>
      <c r="T33" s="30">
        <f t="shared" si="10"/>
        <v>376015.8219999999</v>
      </c>
      <c r="U33" s="103">
        <f>SUM(U22:U31)</f>
        <v>-170.251</v>
      </c>
      <c r="V33" s="30">
        <f t="shared" si="10"/>
        <v>-443347.835</v>
      </c>
      <c r="W33" s="103">
        <f t="shared" si="10"/>
        <v>-394530.49100000004</v>
      </c>
      <c r="X33" s="103">
        <f t="shared" si="10"/>
        <v>-48817.34400000002</v>
      </c>
      <c r="Y33" s="30">
        <f>SUM(Y22:Y31)</f>
        <v>91965.402</v>
      </c>
      <c r="Z33" s="103">
        <v>306.672</v>
      </c>
      <c r="AA33" s="30">
        <f t="shared" si="10"/>
        <v>389350.799</v>
      </c>
      <c r="AB33" s="103">
        <v>29499.664</v>
      </c>
      <c r="AC33" s="30">
        <f t="shared" si="10"/>
        <v>-517730.29799999995</v>
      </c>
      <c r="AD33" s="30">
        <f t="shared" si="10"/>
        <v>-575430.7110000001</v>
      </c>
      <c r="AE33" s="103">
        <v>-51</v>
      </c>
      <c r="AF33" s="30">
        <f>SUM(AF22:AF31)</f>
        <v>-491534</v>
      </c>
      <c r="AG33" s="30">
        <f t="shared" si="10"/>
        <v>-173018.81200000003</v>
      </c>
      <c r="AH33" s="30">
        <f>SUM(AH22:AH31)</f>
        <v>-365003.933</v>
      </c>
      <c r="AI33" s="30">
        <f t="shared" si="10"/>
        <v>-811115.8049999999</v>
      </c>
      <c r="AJ33" s="103">
        <f>SUM(AJ22:AJ31)</f>
        <v>2068.462</v>
      </c>
      <c r="AK33" s="30">
        <f t="shared" si="10"/>
        <v>71078.84499999991</v>
      </c>
      <c r="AL33" s="103">
        <f>SUM(AL22:AL31)</f>
        <v>175.735</v>
      </c>
      <c r="AM33" s="30">
        <f t="shared" si="10"/>
        <v>-41270.282999999996</v>
      </c>
      <c r="AN33" s="103">
        <v>-30854</v>
      </c>
      <c r="AO33" s="30">
        <f>SUM(AO22:AO31)</f>
        <v>-247958.687</v>
      </c>
      <c r="AP33" s="103">
        <v>-228052</v>
      </c>
      <c r="AQ33" s="30">
        <f>SUM(AQ22:AQ31)</f>
        <v>72140.832</v>
      </c>
      <c r="AR33" s="30">
        <f t="shared" si="10"/>
        <v>-161834.96499999997</v>
      </c>
      <c r="AS33" s="103">
        <f>SUM(AS22:AS31)</f>
        <v>-46.554000000000016</v>
      </c>
      <c r="AT33" s="30">
        <f t="shared" si="10"/>
        <v>213632.23799999995</v>
      </c>
      <c r="AU33" s="103">
        <f>SUM(AU22:AU31)</f>
        <v>-14.035000000000004</v>
      </c>
      <c r="AV33" s="30">
        <f>SUM(AV22:AV31)</f>
        <v>-420018</v>
      </c>
      <c r="AW33" s="103">
        <v>-172595</v>
      </c>
      <c r="AX33" s="30">
        <f t="shared" si="10"/>
        <v>-83958.78899999996</v>
      </c>
      <c r="AY33" s="30">
        <f t="shared" si="10"/>
        <v>-186213.522</v>
      </c>
      <c r="AZ33" s="103">
        <v>-157156.42</v>
      </c>
      <c r="BA33" s="30">
        <f t="shared" si="10"/>
        <v>-73632.26999999999</v>
      </c>
      <c r="BB33" s="30">
        <f t="shared" si="10"/>
        <v>-149640.95899999997</v>
      </c>
      <c r="BC33" s="103">
        <f>SUM(BC22:BC31)</f>
        <v>-148996.76399999997</v>
      </c>
      <c r="BD33" s="30">
        <f t="shared" si="10"/>
        <v>113903.32799999998</v>
      </c>
      <c r="BE33" s="103">
        <v>67.902</v>
      </c>
      <c r="BF33" s="30">
        <f>SUM(BF22:BF31)</f>
        <v>144975.63200000004</v>
      </c>
      <c r="BG33" s="103">
        <v>2881.014</v>
      </c>
      <c r="BH33" s="30">
        <f>SUM(BH22:BH31)</f>
        <v>118761.50699999998</v>
      </c>
      <c r="BI33" s="103">
        <v>2671.52</v>
      </c>
      <c r="BJ33" s="30">
        <f t="shared" si="10"/>
        <v>17761.651999999987</v>
      </c>
      <c r="BK33" s="30">
        <f t="shared" si="10"/>
        <v>-207987.49099999998</v>
      </c>
      <c r="BL33" s="103">
        <f t="shared" si="10"/>
        <v>-209094.93199999997</v>
      </c>
      <c r="BM33" s="103">
        <f t="shared" si="10"/>
        <v>1107.440999999999</v>
      </c>
      <c r="BN33" s="30">
        <f>SUM(BN22:BN31)</f>
        <v>-69615.679</v>
      </c>
      <c r="BO33" s="30">
        <f>SUM(BO22:BO31)</f>
        <v>50840.584</v>
      </c>
      <c r="BP33" s="30">
        <f>SUM(BP22:BP31)</f>
        <v>-113361.464</v>
      </c>
      <c r="BQ33" s="30">
        <f>SUM(BQ22:BQ31)</f>
        <v>62499.40500000001</v>
      </c>
      <c r="BR33" s="30">
        <f>SUM(BR22:BR32)</f>
        <v>-77127.854</v>
      </c>
      <c r="BS33" s="103">
        <f>SUM(BS22:BS32)</f>
        <v>-66866.33799999999</v>
      </c>
      <c r="BT33" s="103">
        <f>SUM(BT22:BT32)</f>
        <v>-8956.104</v>
      </c>
      <c r="BU33" s="103">
        <f>SUM(BU22:BU31)</f>
        <v>-1305.412</v>
      </c>
      <c r="BV33" s="30">
        <f>SUM(BV22:BV31)</f>
        <v>-92449.902</v>
      </c>
      <c r="BW33" s="30">
        <f>SUM(BW22:BW31)</f>
        <v>28300.715999999993</v>
      </c>
      <c r="BX33" s="30">
        <f aca="true" t="shared" si="11" ref="BX33:CD33">SUM(BX22:BX31)</f>
        <v>-99022.97899999999</v>
      </c>
      <c r="BY33" s="103">
        <f>SUM(BY22:BY31)</f>
        <v>-92777.107</v>
      </c>
      <c r="BZ33" s="30">
        <f t="shared" si="11"/>
        <v>6592.297000000006</v>
      </c>
      <c r="CA33" s="103">
        <f t="shared" si="11"/>
        <v>-5459.2059999999865</v>
      </c>
      <c r="CB33" s="103">
        <f t="shared" si="11"/>
        <v>12051.50299999999</v>
      </c>
      <c r="CC33" s="30">
        <f t="shared" si="11"/>
        <v>35939.833999999995</v>
      </c>
      <c r="CD33" s="30">
        <f t="shared" si="11"/>
        <v>-88750.495</v>
      </c>
      <c r="CE33" s="103">
        <v>-88193.991</v>
      </c>
      <c r="CF33" s="30">
        <f aca="true" t="shared" si="12" ref="CF33:CP33">SUM(CF22:CF31)</f>
        <v>37758.42299999999</v>
      </c>
      <c r="CG33" s="30">
        <f t="shared" si="12"/>
        <v>44118.10100000001</v>
      </c>
      <c r="CH33" s="30">
        <f t="shared" si="12"/>
        <v>-9472.537</v>
      </c>
      <c r="CI33" s="30">
        <f t="shared" si="12"/>
        <v>19911.117</v>
      </c>
      <c r="CJ33" s="30">
        <f t="shared" si="12"/>
        <v>546.5900000000038</v>
      </c>
      <c r="CK33" s="30">
        <f t="shared" si="12"/>
        <v>1264.043999999998</v>
      </c>
      <c r="CL33" s="30">
        <f t="shared" si="12"/>
        <v>30085.97200000001</v>
      </c>
      <c r="CM33" s="30">
        <f t="shared" si="12"/>
        <v>9783.807999999999</v>
      </c>
      <c r="CN33" s="30">
        <f t="shared" si="12"/>
        <v>686.8299999999999</v>
      </c>
      <c r="CO33" s="30">
        <f t="shared" si="12"/>
        <v>4534.715999999999</v>
      </c>
      <c r="CP33" s="30">
        <f t="shared" si="12"/>
        <v>8012.084999999999</v>
      </c>
      <c r="CQ33" s="103">
        <v>6877.514</v>
      </c>
      <c r="CR33" s="30">
        <f>SUM(CR22:CR31)</f>
        <v>3030.2830000000004</v>
      </c>
      <c r="CS33" s="30">
        <f>SUM(CS22:CS31)</f>
        <v>-49.99500000000006</v>
      </c>
      <c r="CT33" s="30"/>
      <c r="CV33" s="30">
        <f t="shared" si="0"/>
        <v>-2128241.046000001</v>
      </c>
      <c r="CW33" s="30"/>
      <c r="CX33" s="30">
        <f t="shared" si="1"/>
        <v>1321271.715</v>
      </c>
      <c r="CY33" s="30">
        <f t="shared" si="2"/>
        <v>-3449512.761</v>
      </c>
      <c r="CZ33" s="30"/>
      <c r="DA33" s="30">
        <f t="shared" si="3"/>
        <v>0</v>
      </c>
      <c r="DB33" s="30"/>
      <c r="DC33" s="30"/>
      <c r="DD33" s="30"/>
      <c r="DE33" s="30"/>
    </row>
    <row r="34" spans="1:105" ht="8.25" customHeight="1">
      <c r="A34" s="135"/>
      <c r="CV34" s="30"/>
      <c r="CW34" s="30"/>
      <c r="CX34" s="30"/>
      <c r="CY34" s="30"/>
      <c r="DA34" s="30">
        <f t="shared" si="3"/>
        <v>0</v>
      </c>
    </row>
    <row r="35" spans="1:105" ht="12.75">
      <c r="A35" s="135" t="s">
        <v>232</v>
      </c>
      <c r="CV35" s="30"/>
      <c r="CW35" s="30"/>
      <c r="CX35" s="30"/>
      <c r="CY35" s="30"/>
      <c r="DA35" s="30">
        <f t="shared" si="3"/>
        <v>0</v>
      </c>
    </row>
    <row r="36" spans="1:105" ht="12.75">
      <c r="A36" s="137" t="s">
        <v>228</v>
      </c>
      <c r="B36" s="133">
        <v>87415.082</v>
      </c>
      <c r="C36" s="138">
        <v>0</v>
      </c>
      <c r="D36" s="133">
        <v>44424</v>
      </c>
      <c r="E36" s="138">
        <v>30511</v>
      </c>
      <c r="F36" s="138">
        <v>13847</v>
      </c>
      <c r="G36" s="138">
        <v>66</v>
      </c>
      <c r="H36" s="138">
        <v>0</v>
      </c>
      <c r="I36" s="138">
        <v>0</v>
      </c>
      <c r="J36" s="133">
        <v>23234.26</v>
      </c>
      <c r="K36" s="138">
        <v>82</v>
      </c>
      <c r="L36" s="133">
        <v>74619.909</v>
      </c>
      <c r="M36" s="138">
        <v>74201.458</v>
      </c>
      <c r="N36" s="138">
        <v>285.104</v>
      </c>
      <c r="O36" s="138">
        <v>133.347</v>
      </c>
      <c r="P36" s="133">
        <v>18248.035</v>
      </c>
      <c r="Q36" s="138">
        <v>0</v>
      </c>
      <c r="R36" s="133">
        <v>18357.871</v>
      </c>
      <c r="S36" s="138"/>
      <c r="T36" s="133">
        <v>18811.734</v>
      </c>
      <c r="U36" s="138">
        <v>0</v>
      </c>
      <c r="V36" s="133">
        <v>4005.967</v>
      </c>
      <c r="W36" s="138">
        <v>3469.677</v>
      </c>
      <c r="X36" s="138">
        <f>+V36-W36</f>
        <v>536.29</v>
      </c>
      <c r="Y36" s="133">
        <v>25829.416</v>
      </c>
      <c r="Z36" s="138"/>
      <c r="AA36" s="133">
        <v>20831.166</v>
      </c>
      <c r="AB36" s="138"/>
      <c r="AC36" s="133">
        <v>36187.179</v>
      </c>
      <c r="AD36" s="133">
        <v>8268.28</v>
      </c>
      <c r="AE36" s="138"/>
      <c r="AF36" s="133">
        <v>6010</v>
      </c>
      <c r="AG36" s="133">
        <v>3135.802</v>
      </c>
      <c r="AH36" s="133">
        <v>17402.102</v>
      </c>
      <c r="AI36" s="133">
        <v>20582.944</v>
      </c>
      <c r="AJ36" s="138">
        <v>0</v>
      </c>
      <c r="AK36" s="133">
        <v>9466.92</v>
      </c>
      <c r="AL36" s="138">
        <v>47.615</v>
      </c>
      <c r="AM36" s="133">
        <v>33750.158</v>
      </c>
      <c r="AN36" s="138"/>
      <c r="AO36" s="133">
        <v>2263.65</v>
      </c>
      <c r="AP36" s="138"/>
      <c r="AQ36" s="133">
        <v>4583.969</v>
      </c>
      <c r="AR36" s="133">
        <v>11183.87</v>
      </c>
      <c r="AS36" s="138">
        <v>3.217</v>
      </c>
      <c r="AT36" s="133">
        <v>3623.439</v>
      </c>
      <c r="AU36" s="138">
        <v>0.082</v>
      </c>
      <c r="AV36" s="133">
        <v>30808</v>
      </c>
      <c r="AW36" s="138"/>
      <c r="AX36" s="133">
        <v>259.781</v>
      </c>
      <c r="AY36" s="133">
        <v>1537.19</v>
      </c>
      <c r="AZ36" s="138"/>
      <c r="BA36" s="133">
        <v>8613.549</v>
      </c>
      <c r="BB36" s="133">
        <v>1730.406</v>
      </c>
      <c r="BC36" s="138">
        <f>1730.406-29.245</f>
        <v>1701.161</v>
      </c>
      <c r="BD36" s="133">
        <v>12426.521</v>
      </c>
      <c r="BE36" s="138"/>
      <c r="BF36" s="133">
        <v>15032.897</v>
      </c>
      <c r="BG36" s="138"/>
      <c r="BH36" s="133">
        <v>1558.625</v>
      </c>
      <c r="BI36" s="138"/>
      <c r="BJ36" s="133">
        <v>0</v>
      </c>
      <c r="BK36" s="133">
        <v>930.286</v>
      </c>
      <c r="BL36" s="138">
        <v>846.286</v>
      </c>
      <c r="BM36" s="138">
        <v>84</v>
      </c>
      <c r="BN36" s="133">
        <v>477.855</v>
      </c>
      <c r="BO36" s="133">
        <v>1843.282</v>
      </c>
      <c r="BP36" s="133">
        <v>0</v>
      </c>
      <c r="BQ36" s="133">
        <v>4318.354</v>
      </c>
      <c r="BR36" s="133">
        <v>2158.194</v>
      </c>
      <c r="BS36" s="138">
        <v>1896.232</v>
      </c>
      <c r="BT36" s="138">
        <v>261.961</v>
      </c>
      <c r="BU36" s="138">
        <v>0</v>
      </c>
      <c r="BV36" s="133">
        <v>0</v>
      </c>
      <c r="BW36" s="133">
        <v>1293.523</v>
      </c>
      <c r="BX36" s="133">
        <v>4021.965</v>
      </c>
      <c r="BY36" s="138">
        <f>4021.965-243.718</f>
        <v>3778.2470000000003</v>
      </c>
      <c r="BZ36" s="133">
        <v>1279.262</v>
      </c>
      <c r="CA36" s="138">
        <f>+BZ36-CB36</f>
        <v>445.1189999999999</v>
      </c>
      <c r="CB36" s="138">
        <v>834.143</v>
      </c>
      <c r="CC36" s="133">
        <v>606.095</v>
      </c>
      <c r="CD36" s="133">
        <v>0</v>
      </c>
      <c r="CE36" s="138"/>
      <c r="CF36" s="133">
        <v>1048.395</v>
      </c>
      <c r="CG36" s="133">
        <v>600</v>
      </c>
      <c r="CH36" s="133">
        <v>325.313</v>
      </c>
      <c r="CI36" s="133">
        <v>494.266</v>
      </c>
      <c r="CJ36" s="133">
        <v>535.902</v>
      </c>
      <c r="CK36" s="133">
        <v>0</v>
      </c>
      <c r="CL36" s="133">
        <v>151.846</v>
      </c>
      <c r="CM36" s="133">
        <v>0</v>
      </c>
      <c r="CN36" s="133">
        <v>641.394</v>
      </c>
      <c r="CO36" s="133">
        <v>0</v>
      </c>
      <c r="CP36" s="133">
        <v>366.313</v>
      </c>
      <c r="CQ36" s="138">
        <v>0</v>
      </c>
      <c r="CR36" s="133">
        <v>0</v>
      </c>
      <c r="CS36" s="133">
        <v>0</v>
      </c>
      <c r="CT36" s="133"/>
      <c r="CV36" s="30">
        <f t="shared" si="0"/>
        <v>585294.967</v>
      </c>
      <c r="CW36" s="30"/>
      <c r="CX36" s="30">
        <f t="shared" si="1"/>
        <v>57042.494000000006</v>
      </c>
      <c r="CY36" s="30">
        <f t="shared" si="2"/>
        <v>528252.4730000001</v>
      </c>
      <c r="CZ36" s="133"/>
      <c r="DA36" s="30">
        <f t="shared" si="3"/>
        <v>0</v>
      </c>
    </row>
    <row r="37" spans="1:105" ht="12.75">
      <c r="A37" s="137" t="s">
        <v>210</v>
      </c>
      <c r="B37" s="133">
        <v>0</v>
      </c>
      <c r="C37" s="138">
        <v>0</v>
      </c>
      <c r="D37" s="133">
        <v>5210</v>
      </c>
      <c r="E37" s="138">
        <v>2590</v>
      </c>
      <c r="F37" s="138">
        <v>2560</v>
      </c>
      <c r="G37" s="138">
        <v>0</v>
      </c>
      <c r="H37" s="138">
        <v>0</v>
      </c>
      <c r="I37" s="138">
        <v>61</v>
      </c>
      <c r="J37" s="133">
        <v>34305.582</v>
      </c>
      <c r="K37" s="138">
        <v>0</v>
      </c>
      <c r="L37" s="133">
        <v>38023.842</v>
      </c>
      <c r="M37" s="138">
        <v>37964.608</v>
      </c>
      <c r="N37" s="138">
        <v>0</v>
      </c>
      <c r="O37" s="138">
        <v>59.234</v>
      </c>
      <c r="P37" s="133">
        <v>441.206</v>
      </c>
      <c r="Q37" s="138">
        <v>0.614</v>
      </c>
      <c r="R37" s="133">
        <v>0</v>
      </c>
      <c r="S37" s="138"/>
      <c r="T37" s="133">
        <v>832.375</v>
      </c>
      <c r="U37" s="138">
        <v>0</v>
      </c>
      <c r="V37" s="133">
        <v>0</v>
      </c>
      <c r="W37" s="138">
        <v>0</v>
      </c>
      <c r="X37" s="138">
        <f>+V37-W37</f>
        <v>0</v>
      </c>
      <c r="Y37" s="133">
        <v>0</v>
      </c>
      <c r="Z37" s="138"/>
      <c r="AA37" s="133">
        <v>1891.96</v>
      </c>
      <c r="AB37" s="138"/>
      <c r="AC37" s="133">
        <v>0</v>
      </c>
      <c r="AD37" s="133">
        <v>2839.595</v>
      </c>
      <c r="AE37" s="138"/>
      <c r="AF37" s="133">
        <v>0</v>
      </c>
      <c r="AG37" s="133">
        <v>554.512</v>
      </c>
      <c r="AH37" s="133">
        <v>1.1</v>
      </c>
      <c r="AI37" s="134"/>
      <c r="AJ37" s="138">
        <v>0</v>
      </c>
      <c r="AK37" s="133">
        <v>0</v>
      </c>
      <c r="AL37" s="138">
        <v>0</v>
      </c>
      <c r="AM37" s="133">
        <v>0</v>
      </c>
      <c r="AN37" s="138"/>
      <c r="AO37" s="133">
        <v>161.931</v>
      </c>
      <c r="AP37" s="138"/>
      <c r="AQ37" s="133">
        <v>573.195</v>
      </c>
      <c r="AR37" s="133">
        <v>2955.189</v>
      </c>
      <c r="AS37" s="138">
        <v>0.85</v>
      </c>
      <c r="AT37" s="133">
        <v>412.578</v>
      </c>
      <c r="AU37" s="138">
        <v>0</v>
      </c>
      <c r="AV37" s="133">
        <v>0</v>
      </c>
      <c r="AW37" s="138"/>
      <c r="AX37" s="133">
        <v>0</v>
      </c>
      <c r="AY37" s="133">
        <v>196.231</v>
      </c>
      <c r="AZ37" s="138"/>
      <c r="BA37" s="133">
        <v>0</v>
      </c>
      <c r="BB37" s="133">
        <v>0</v>
      </c>
      <c r="BC37" s="138">
        <v>0</v>
      </c>
      <c r="BD37" s="133">
        <v>0</v>
      </c>
      <c r="BE37" s="138"/>
      <c r="BF37" s="133">
        <v>11199.595</v>
      </c>
      <c r="BG37" s="138"/>
      <c r="BH37" s="133">
        <v>0</v>
      </c>
      <c r="BI37" s="138"/>
      <c r="BJ37" s="133">
        <v>1297.814</v>
      </c>
      <c r="BK37" s="133">
        <v>0</v>
      </c>
      <c r="BL37" s="138">
        <v>0</v>
      </c>
      <c r="BM37" s="138">
        <v>0</v>
      </c>
      <c r="BN37" s="133">
        <v>2961.83</v>
      </c>
      <c r="BO37" s="133">
        <v>174.413</v>
      </c>
      <c r="BP37" s="133">
        <v>0</v>
      </c>
      <c r="BQ37" s="133">
        <v>0</v>
      </c>
      <c r="BR37" s="133">
        <v>0</v>
      </c>
      <c r="BS37" s="138">
        <v>0</v>
      </c>
      <c r="BT37" s="138">
        <v>0</v>
      </c>
      <c r="BU37" s="138">
        <v>0</v>
      </c>
      <c r="BV37" s="133">
        <v>0</v>
      </c>
      <c r="BW37" s="133">
        <v>0</v>
      </c>
      <c r="BX37" s="133">
        <v>79.838</v>
      </c>
      <c r="BY37" s="138">
        <f>79.838-2.1</f>
        <v>77.738</v>
      </c>
      <c r="BZ37" s="133">
        <v>0</v>
      </c>
      <c r="CA37" s="138">
        <f>+BZ37-CB37</f>
        <v>0</v>
      </c>
      <c r="CB37" s="138">
        <v>0</v>
      </c>
      <c r="CC37" s="133">
        <v>39.833</v>
      </c>
      <c r="CD37" s="133">
        <v>4168.008</v>
      </c>
      <c r="CE37" s="138"/>
      <c r="CF37" s="133">
        <v>0</v>
      </c>
      <c r="CG37" s="133">
        <v>1030.212</v>
      </c>
      <c r="CH37" s="133">
        <v>7.857</v>
      </c>
      <c r="CI37" s="133">
        <v>243.985</v>
      </c>
      <c r="CJ37" s="133">
        <v>0</v>
      </c>
      <c r="CK37" s="133">
        <v>0</v>
      </c>
      <c r="CL37" s="133">
        <v>8.606</v>
      </c>
      <c r="CM37" s="133">
        <v>0</v>
      </c>
      <c r="CN37" s="133">
        <v>0</v>
      </c>
      <c r="CO37" s="133">
        <v>1.883</v>
      </c>
      <c r="CP37" s="133">
        <v>0</v>
      </c>
      <c r="CQ37" s="138">
        <v>0</v>
      </c>
      <c r="CR37" s="133">
        <v>0</v>
      </c>
      <c r="CS37" s="133">
        <v>0</v>
      </c>
      <c r="CT37" s="133"/>
      <c r="CV37" s="30">
        <f t="shared" si="0"/>
        <v>109613.17000000003</v>
      </c>
      <c r="CW37" s="30"/>
      <c r="CX37" s="30">
        <f t="shared" si="1"/>
        <v>11074.934</v>
      </c>
      <c r="CY37" s="30">
        <f t="shared" si="2"/>
        <v>98538.23600000002</v>
      </c>
      <c r="CZ37" s="133"/>
      <c r="DA37" s="30">
        <f t="shared" si="3"/>
        <v>0</v>
      </c>
    </row>
    <row r="38" spans="1:105" ht="12.75">
      <c r="A38" s="137" t="s">
        <v>271</v>
      </c>
      <c r="B38" s="133">
        <v>0</v>
      </c>
      <c r="C38" s="138">
        <v>0</v>
      </c>
      <c r="D38" s="133">
        <v>0</v>
      </c>
      <c r="E38" s="138">
        <v>0</v>
      </c>
      <c r="F38" s="138">
        <v>0</v>
      </c>
      <c r="G38" s="138">
        <v>0</v>
      </c>
      <c r="H38" s="138">
        <v>0</v>
      </c>
      <c r="I38" s="138">
        <v>0</v>
      </c>
      <c r="J38" s="133">
        <v>0</v>
      </c>
      <c r="K38" s="138">
        <v>0</v>
      </c>
      <c r="L38" s="133">
        <v>0</v>
      </c>
      <c r="M38" s="138">
        <v>0</v>
      </c>
      <c r="N38" s="138">
        <v>0</v>
      </c>
      <c r="O38" s="138">
        <v>0</v>
      </c>
      <c r="P38" s="133">
        <v>0</v>
      </c>
      <c r="Q38" s="138">
        <v>0</v>
      </c>
      <c r="R38" s="133">
        <v>0</v>
      </c>
      <c r="S38" s="138"/>
      <c r="T38" s="133">
        <v>0</v>
      </c>
      <c r="U38" s="138">
        <v>0</v>
      </c>
      <c r="V38" s="133">
        <v>0</v>
      </c>
      <c r="W38" s="138">
        <v>0</v>
      </c>
      <c r="X38" s="138">
        <f>+V38-W38</f>
        <v>0</v>
      </c>
      <c r="Y38" s="133">
        <v>0</v>
      </c>
      <c r="Z38" s="138"/>
      <c r="AA38" s="133">
        <v>0</v>
      </c>
      <c r="AB38" s="138"/>
      <c r="AC38" s="133">
        <v>0</v>
      </c>
      <c r="AD38" s="133">
        <v>0</v>
      </c>
      <c r="AE38" s="138"/>
      <c r="AF38" s="133">
        <v>0</v>
      </c>
      <c r="AG38" s="133">
        <v>0</v>
      </c>
      <c r="AH38" s="133">
        <v>0</v>
      </c>
      <c r="AI38" s="133">
        <v>0</v>
      </c>
      <c r="AJ38" s="138">
        <v>0</v>
      </c>
      <c r="AK38" s="133">
        <v>0</v>
      </c>
      <c r="AL38" s="138">
        <v>0</v>
      </c>
      <c r="AM38" s="133">
        <v>0</v>
      </c>
      <c r="AN38" s="138"/>
      <c r="AO38" s="133">
        <v>0</v>
      </c>
      <c r="AP38" s="138"/>
      <c r="AQ38" s="133">
        <v>0</v>
      </c>
      <c r="AR38" s="133">
        <v>0</v>
      </c>
      <c r="AS38" s="138">
        <v>0</v>
      </c>
      <c r="AT38" s="133">
        <v>0</v>
      </c>
      <c r="AU38" s="138">
        <v>0</v>
      </c>
      <c r="AV38" s="133">
        <v>0</v>
      </c>
      <c r="AW38" s="138"/>
      <c r="AX38" s="133">
        <v>0</v>
      </c>
      <c r="AY38" s="133">
        <v>0</v>
      </c>
      <c r="AZ38" s="138"/>
      <c r="BA38" s="133">
        <v>0</v>
      </c>
      <c r="BB38" s="133">
        <v>0</v>
      </c>
      <c r="BC38" s="138">
        <v>0</v>
      </c>
      <c r="BD38" s="133">
        <v>0</v>
      </c>
      <c r="BE38" s="138"/>
      <c r="BF38" s="133">
        <v>0</v>
      </c>
      <c r="BG38" s="138"/>
      <c r="BH38" s="133">
        <v>0</v>
      </c>
      <c r="BI38" s="138"/>
      <c r="BJ38" s="133">
        <v>0</v>
      </c>
      <c r="BK38" s="133">
        <v>0</v>
      </c>
      <c r="BL38" s="138">
        <v>0</v>
      </c>
      <c r="BM38" s="138">
        <v>0</v>
      </c>
      <c r="BN38" s="133">
        <v>0</v>
      </c>
      <c r="BO38" s="133">
        <v>0</v>
      </c>
      <c r="BP38" s="133">
        <v>0</v>
      </c>
      <c r="BQ38" s="133">
        <v>0</v>
      </c>
      <c r="BR38" s="133">
        <v>0</v>
      </c>
      <c r="BS38" s="138">
        <v>0</v>
      </c>
      <c r="BT38" s="138">
        <v>0</v>
      </c>
      <c r="BU38" s="138">
        <v>0</v>
      </c>
      <c r="BV38" s="133">
        <v>0</v>
      </c>
      <c r="BW38" s="133">
        <v>0</v>
      </c>
      <c r="BX38" s="133">
        <v>0</v>
      </c>
      <c r="BY38" s="138">
        <v>0</v>
      </c>
      <c r="BZ38" s="133">
        <v>0</v>
      </c>
      <c r="CA38" s="138">
        <f>+BZ38-CB38</f>
        <v>0</v>
      </c>
      <c r="CB38" s="138">
        <v>0</v>
      </c>
      <c r="CC38" s="133">
        <v>0</v>
      </c>
      <c r="CD38" s="133">
        <v>0</v>
      </c>
      <c r="CE38" s="138"/>
      <c r="CF38" s="133">
        <v>0</v>
      </c>
      <c r="CG38" s="133"/>
      <c r="CH38" s="133">
        <v>0</v>
      </c>
      <c r="CI38" s="133">
        <v>0</v>
      </c>
      <c r="CJ38" s="133">
        <v>0</v>
      </c>
      <c r="CK38" s="133">
        <v>0</v>
      </c>
      <c r="CL38" s="133">
        <v>0</v>
      </c>
      <c r="CM38" s="133">
        <v>0</v>
      </c>
      <c r="CN38" s="133">
        <v>0</v>
      </c>
      <c r="CO38" s="133">
        <v>0</v>
      </c>
      <c r="CP38" s="133">
        <v>0</v>
      </c>
      <c r="CQ38" s="138">
        <v>0</v>
      </c>
      <c r="CR38" s="133">
        <v>0</v>
      </c>
      <c r="CS38" s="133">
        <v>0</v>
      </c>
      <c r="CT38" s="133"/>
      <c r="CV38" s="30">
        <f t="shared" si="0"/>
        <v>0</v>
      </c>
      <c r="CW38" s="30"/>
      <c r="CX38" s="30">
        <f t="shared" si="1"/>
        <v>0</v>
      </c>
      <c r="CY38" s="30">
        <f t="shared" si="2"/>
        <v>0</v>
      </c>
      <c r="CZ38" s="133"/>
      <c r="DA38" s="30">
        <f t="shared" si="3"/>
        <v>0</v>
      </c>
    </row>
    <row r="39" spans="1:105" ht="12.75">
      <c r="A39" s="137" t="s">
        <v>209</v>
      </c>
      <c r="B39" s="133">
        <v>0</v>
      </c>
      <c r="C39" s="138">
        <v>0</v>
      </c>
      <c r="D39" s="133">
        <v>-19</v>
      </c>
      <c r="E39" s="138">
        <v>-19</v>
      </c>
      <c r="F39" s="138">
        <v>0</v>
      </c>
      <c r="G39" s="138">
        <v>0</v>
      </c>
      <c r="H39" s="138">
        <v>0</v>
      </c>
      <c r="I39" s="138">
        <v>0</v>
      </c>
      <c r="J39" s="133">
        <v>0</v>
      </c>
      <c r="K39" s="138">
        <v>0</v>
      </c>
      <c r="L39" s="133">
        <v>0</v>
      </c>
      <c r="M39" s="138">
        <v>0</v>
      </c>
      <c r="N39" s="138">
        <v>0</v>
      </c>
      <c r="O39" s="138">
        <v>0</v>
      </c>
      <c r="P39" s="133">
        <v>0</v>
      </c>
      <c r="Q39" s="138">
        <v>0</v>
      </c>
      <c r="R39" s="133">
        <v>0</v>
      </c>
      <c r="S39" s="138"/>
      <c r="T39" s="133">
        <v>0</v>
      </c>
      <c r="U39" s="138">
        <v>0</v>
      </c>
      <c r="V39" s="133">
        <v>0</v>
      </c>
      <c r="W39" s="138">
        <v>0</v>
      </c>
      <c r="X39" s="138">
        <f>+V39-W39</f>
        <v>0</v>
      </c>
      <c r="Y39" s="133">
        <v>0</v>
      </c>
      <c r="Z39" s="138"/>
      <c r="AA39" s="133">
        <v>0</v>
      </c>
      <c r="AB39" s="138"/>
      <c r="AC39" s="133">
        <v>0</v>
      </c>
      <c r="AD39" s="133">
        <v>0</v>
      </c>
      <c r="AE39" s="138"/>
      <c r="AF39" s="133">
        <v>0</v>
      </c>
      <c r="AG39" s="133">
        <v>0</v>
      </c>
      <c r="AH39" s="133">
        <v>4781.27</v>
      </c>
      <c r="AI39" s="133">
        <v>0</v>
      </c>
      <c r="AJ39" s="138">
        <v>0</v>
      </c>
      <c r="AK39" s="133">
        <v>2029.85</v>
      </c>
      <c r="AL39" s="138">
        <v>0</v>
      </c>
      <c r="AM39" s="133">
        <v>0</v>
      </c>
      <c r="AN39" s="138"/>
      <c r="AO39" s="133">
        <v>0</v>
      </c>
      <c r="AP39" s="138"/>
      <c r="AQ39" s="133">
        <v>0</v>
      </c>
      <c r="AR39" s="133">
        <v>0</v>
      </c>
      <c r="AS39" s="138">
        <v>0</v>
      </c>
      <c r="AT39" s="133">
        <v>0</v>
      </c>
      <c r="AU39" s="138">
        <v>0</v>
      </c>
      <c r="AV39" s="133">
        <v>0</v>
      </c>
      <c r="AW39" s="138"/>
      <c r="AX39" s="133">
        <v>0</v>
      </c>
      <c r="AY39" s="133">
        <v>0</v>
      </c>
      <c r="AZ39" s="138"/>
      <c r="BA39" s="133">
        <v>0</v>
      </c>
      <c r="BB39" s="133">
        <v>0</v>
      </c>
      <c r="BC39" s="138">
        <v>0</v>
      </c>
      <c r="BD39" s="133">
        <v>0</v>
      </c>
      <c r="BE39" s="138"/>
      <c r="BF39" s="133">
        <v>0</v>
      </c>
      <c r="BG39" s="138"/>
      <c r="BH39" s="133">
        <v>0</v>
      </c>
      <c r="BI39" s="138"/>
      <c r="BJ39" s="133">
        <v>0</v>
      </c>
      <c r="BK39" s="133">
        <v>0</v>
      </c>
      <c r="BL39" s="138">
        <v>0</v>
      </c>
      <c r="BM39" s="138">
        <v>0</v>
      </c>
      <c r="BN39" s="133">
        <v>0</v>
      </c>
      <c r="BO39" s="133">
        <v>0</v>
      </c>
      <c r="BP39" s="133">
        <v>0</v>
      </c>
      <c r="BQ39" s="133">
        <v>0</v>
      </c>
      <c r="BR39" s="133">
        <v>0</v>
      </c>
      <c r="BS39" s="138">
        <v>0</v>
      </c>
      <c r="BT39" s="138">
        <v>0</v>
      </c>
      <c r="BU39" s="138">
        <v>0</v>
      </c>
      <c r="BV39" s="133">
        <v>0</v>
      </c>
      <c r="BW39" s="133">
        <v>0</v>
      </c>
      <c r="BX39" s="133">
        <v>0</v>
      </c>
      <c r="BY39" s="138">
        <v>0</v>
      </c>
      <c r="BZ39" s="133">
        <v>0</v>
      </c>
      <c r="CA39" s="138">
        <f>+BZ39-CB39</f>
        <v>0</v>
      </c>
      <c r="CB39" s="138">
        <v>0</v>
      </c>
      <c r="CC39" s="133">
        <v>0</v>
      </c>
      <c r="CD39" s="133">
        <v>0</v>
      </c>
      <c r="CE39" s="138"/>
      <c r="CF39" s="133">
        <v>0</v>
      </c>
      <c r="CG39" s="133">
        <v>0</v>
      </c>
      <c r="CH39" s="133">
        <v>0</v>
      </c>
      <c r="CI39" s="133">
        <v>0</v>
      </c>
      <c r="CJ39" s="133">
        <v>0</v>
      </c>
      <c r="CK39" s="133">
        <v>0</v>
      </c>
      <c r="CL39" s="133">
        <v>0</v>
      </c>
      <c r="CM39" s="133">
        <v>0</v>
      </c>
      <c r="CN39" s="133">
        <v>0</v>
      </c>
      <c r="CO39" s="133">
        <v>0</v>
      </c>
      <c r="CP39" s="133">
        <v>0</v>
      </c>
      <c r="CQ39" s="138">
        <v>0</v>
      </c>
      <c r="CR39" s="133">
        <v>0</v>
      </c>
      <c r="CS39" s="133">
        <v>0</v>
      </c>
      <c r="CT39" s="133"/>
      <c r="CV39" s="30">
        <f t="shared" si="0"/>
        <v>6792.120000000001</v>
      </c>
      <c r="CW39" s="30"/>
      <c r="CX39" s="30">
        <f t="shared" si="1"/>
        <v>-19</v>
      </c>
      <c r="CY39" s="30">
        <f t="shared" si="2"/>
        <v>6811.120000000001</v>
      </c>
      <c r="CZ39" s="133"/>
      <c r="DA39" s="30">
        <f t="shared" si="3"/>
        <v>0</v>
      </c>
    </row>
    <row r="40" spans="1:105" ht="12.75">
      <c r="A40" s="137" t="s">
        <v>333</v>
      </c>
      <c r="B40" s="133">
        <v>0</v>
      </c>
      <c r="C40" s="138">
        <v>0</v>
      </c>
      <c r="D40" s="133">
        <v>0</v>
      </c>
      <c r="E40" s="138">
        <v>0</v>
      </c>
      <c r="F40" s="138">
        <v>0</v>
      </c>
      <c r="G40" s="138">
        <v>0</v>
      </c>
      <c r="H40" s="138">
        <v>0</v>
      </c>
      <c r="I40" s="138">
        <v>0</v>
      </c>
      <c r="J40" s="133">
        <v>7103.683</v>
      </c>
      <c r="K40" s="138">
        <v>9.786</v>
      </c>
      <c r="L40" s="133">
        <v>0</v>
      </c>
      <c r="M40" s="138">
        <v>0</v>
      </c>
      <c r="N40" s="138">
        <v>0</v>
      </c>
      <c r="O40" s="138">
        <v>0</v>
      </c>
      <c r="P40" s="133">
        <v>0</v>
      </c>
      <c r="Q40" s="138">
        <v>0</v>
      </c>
      <c r="R40" s="133">
        <v>0</v>
      </c>
      <c r="S40" s="138"/>
      <c r="T40" s="133">
        <v>0</v>
      </c>
      <c r="U40" s="138">
        <v>0</v>
      </c>
      <c r="V40" s="133">
        <v>0</v>
      </c>
      <c r="W40" s="138">
        <v>0</v>
      </c>
      <c r="X40" s="138">
        <f>+V40-W40</f>
        <v>0</v>
      </c>
      <c r="Y40" s="133">
        <v>0</v>
      </c>
      <c r="Z40" s="138"/>
      <c r="AA40" s="133">
        <v>0</v>
      </c>
      <c r="AB40" s="138"/>
      <c r="AC40" s="133">
        <v>0</v>
      </c>
      <c r="AD40" s="133">
        <v>0</v>
      </c>
      <c r="AE40" s="138"/>
      <c r="AF40" s="133">
        <v>0</v>
      </c>
      <c r="AG40" s="133">
        <v>12037.323</v>
      </c>
      <c r="AH40" s="133">
        <v>196.627</v>
      </c>
      <c r="AI40" s="133">
        <v>0</v>
      </c>
      <c r="AJ40" s="138">
        <v>0</v>
      </c>
      <c r="AK40" s="133">
        <v>1381.069</v>
      </c>
      <c r="AL40" s="138">
        <v>0</v>
      </c>
      <c r="AM40" s="133">
        <v>0</v>
      </c>
      <c r="AN40" s="138"/>
      <c r="AO40" s="133">
        <v>0</v>
      </c>
      <c r="AP40" s="138"/>
      <c r="AQ40" s="133">
        <v>0</v>
      </c>
      <c r="AR40" s="133">
        <v>0</v>
      </c>
      <c r="AS40" s="138">
        <v>0</v>
      </c>
      <c r="AT40" s="133">
        <v>0</v>
      </c>
      <c r="AU40" s="138">
        <v>0</v>
      </c>
      <c r="AV40" s="133">
        <v>0</v>
      </c>
      <c r="AW40" s="138"/>
      <c r="AX40" s="133">
        <v>0</v>
      </c>
      <c r="AY40" s="133">
        <v>0</v>
      </c>
      <c r="AZ40" s="138"/>
      <c r="BA40" s="133">
        <v>0</v>
      </c>
      <c r="BB40" s="133">
        <v>18244.778</v>
      </c>
      <c r="BC40" s="138">
        <v>18244.778</v>
      </c>
      <c r="BD40" s="133">
        <v>0</v>
      </c>
      <c r="BE40" s="138"/>
      <c r="BF40" s="133">
        <v>0</v>
      </c>
      <c r="BG40" s="138"/>
      <c r="BH40" s="133">
        <v>0</v>
      </c>
      <c r="BI40" s="138"/>
      <c r="BJ40" s="133">
        <v>0</v>
      </c>
      <c r="BK40" s="133">
        <v>0</v>
      </c>
      <c r="BL40" s="138">
        <v>0</v>
      </c>
      <c r="BM40" s="138">
        <v>0</v>
      </c>
      <c r="BN40" s="133">
        <v>0</v>
      </c>
      <c r="BO40" s="133">
        <v>346.708</v>
      </c>
      <c r="BP40" s="133">
        <v>0</v>
      </c>
      <c r="BQ40" s="133">
        <v>0</v>
      </c>
      <c r="BR40" s="133">
        <v>0</v>
      </c>
      <c r="BS40" s="138">
        <v>0</v>
      </c>
      <c r="BT40" s="138">
        <v>0</v>
      </c>
      <c r="BU40" s="138">
        <v>0</v>
      </c>
      <c r="BV40" s="133">
        <v>0</v>
      </c>
      <c r="BW40" s="133">
        <v>0</v>
      </c>
      <c r="BX40" s="133">
        <v>0</v>
      </c>
      <c r="BY40" s="138">
        <v>0</v>
      </c>
      <c r="BZ40" s="133">
        <v>0</v>
      </c>
      <c r="CA40" s="138">
        <f>+BZ40-CB40</f>
        <v>0</v>
      </c>
      <c r="CB40" s="138">
        <v>0</v>
      </c>
      <c r="CC40" s="133">
        <v>0</v>
      </c>
      <c r="CD40" s="133">
        <v>0</v>
      </c>
      <c r="CE40" s="138"/>
      <c r="CF40" s="133">
        <v>0</v>
      </c>
      <c r="CG40" s="133">
        <v>0</v>
      </c>
      <c r="CH40" s="133">
        <v>0</v>
      </c>
      <c r="CI40" s="133">
        <v>0</v>
      </c>
      <c r="CJ40" s="133">
        <v>55.573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8">
        <v>0</v>
      </c>
      <c r="CR40" s="133">
        <v>0</v>
      </c>
      <c r="CS40" s="133">
        <v>0</v>
      </c>
      <c r="CT40" s="133"/>
      <c r="CV40" s="30">
        <f t="shared" si="0"/>
        <v>39365.76099999999</v>
      </c>
      <c r="CW40" s="30"/>
      <c r="CX40" s="30">
        <f t="shared" si="1"/>
        <v>55.573</v>
      </c>
      <c r="CY40" s="30">
        <f t="shared" si="2"/>
        <v>39310.187999999995</v>
      </c>
      <c r="CZ40" s="133"/>
      <c r="DA40" s="30">
        <f t="shared" si="3"/>
        <v>0</v>
      </c>
    </row>
    <row r="41" spans="1:105" ht="5.25" customHeight="1">
      <c r="A41" s="139"/>
      <c r="CV41" s="30"/>
      <c r="CW41" s="30"/>
      <c r="CX41" s="30"/>
      <c r="CY41" s="30"/>
      <c r="DA41" s="30">
        <f t="shared" si="3"/>
        <v>0</v>
      </c>
    </row>
    <row r="42" spans="1:105" ht="12.75">
      <c r="A42" s="140" t="s">
        <v>224</v>
      </c>
      <c r="B42" s="30">
        <f aca="true" t="shared" si="13" ref="B42:BM42">SUM(B36:B40)</f>
        <v>87415.082</v>
      </c>
      <c r="C42" s="103">
        <f>SUM(C36:C40)</f>
        <v>0</v>
      </c>
      <c r="D42" s="30">
        <f t="shared" si="13"/>
        <v>49615</v>
      </c>
      <c r="E42" s="103">
        <f t="shared" si="13"/>
        <v>33082</v>
      </c>
      <c r="F42" s="103">
        <f t="shared" si="13"/>
        <v>16407</v>
      </c>
      <c r="G42" s="103">
        <f t="shared" si="13"/>
        <v>66</v>
      </c>
      <c r="H42" s="103">
        <f t="shared" si="13"/>
        <v>0</v>
      </c>
      <c r="I42" s="103">
        <f t="shared" si="13"/>
        <v>61</v>
      </c>
      <c r="J42" s="30">
        <f t="shared" si="13"/>
        <v>64643.525</v>
      </c>
      <c r="K42" s="103">
        <f t="shared" si="13"/>
        <v>91.786</v>
      </c>
      <c r="L42" s="30">
        <f t="shared" si="13"/>
        <v>112643.75099999999</v>
      </c>
      <c r="M42" s="103">
        <f t="shared" si="13"/>
        <v>112166.06599999999</v>
      </c>
      <c r="N42" s="103">
        <f t="shared" si="13"/>
        <v>285.104</v>
      </c>
      <c r="O42" s="103">
        <f t="shared" si="13"/>
        <v>192.58100000000002</v>
      </c>
      <c r="P42" s="30">
        <f t="shared" si="13"/>
        <v>18689.240999999998</v>
      </c>
      <c r="Q42" s="103">
        <f t="shared" si="13"/>
        <v>0.614</v>
      </c>
      <c r="R42" s="30">
        <f t="shared" si="13"/>
        <v>18357.871</v>
      </c>
      <c r="S42" s="103">
        <v>30.379</v>
      </c>
      <c r="T42" s="30">
        <f t="shared" si="13"/>
        <v>19644.109</v>
      </c>
      <c r="U42" s="103">
        <f t="shared" si="13"/>
        <v>0</v>
      </c>
      <c r="V42" s="30">
        <f t="shared" si="13"/>
        <v>4005.967</v>
      </c>
      <c r="W42" s="103">
        <f t="shared" si="13"/>
        <v>3469.677</v>
      </c>
      <c r="X42" s="103">
        <f t="shared" si="13"/>
        <v>536.29</v>
      </c>
      <c r="Y42" s="30">
        <f>SUM(Y36:Y40)</f>
        <v>25829.416</v>
      </c>
      <c r="Z42" s="103"/>
      <c r="AA42" s="30">
        <f t="shared" si="13"/>
        <v>22723.126</v>
      </c>
      <c r="AB42" s="103">
        <v>764.573</v>
      </c>
      <c r="AC42" s="30">
        <f t="shared" si="13"/>
        <v>36187.179</v>
      </c>
      <c r="AD42" s="30">
        <f t="shared" si="13"/>
        <v>11107.875</v>
      </c>
      <c r="AE42" s="103">
        <v>1</v>
      </c>
      <c r="AF42" s="30">
        <f>SUM(AF36:AF40)</f>
        <v>6010</v>
      </c>
      <c r="AG42" s="30">
        <f t="shared" si="13"/>
        <v>15727.637</v>
      </c>
      <c r="AH42" s="30">
        <f>SUM(AH36:AH40)</f>
        <v>22381.099</v>
      </c>
      <c r="AI42" s="30">
        <f t="shared" si="13"/>
        <v>20582.944</v>
      </c>
      <c r="AJ42" s="103">
        <f t="shared" si="13"/>
        <v>0</v>
      </c>
      <c r="AK42" s="30">
        <f t="shared" si="13"/>
        <v>12877.839</v>
      </c>
      <c r="AL42" s="103">
        <f t="shared" si="13"/>
        <v>47.615</v>
      </c>
      <c r="AM42" s="30">
        <f t="shared" si="13"/>
        <v>33750.158</v>
      </c>
      <c r="AN42" s="103"/>
      <c r="AO42" s="30">
        <f>SUM(AO36:AO40)</f>
        <v>2425.581</v>
      </c>
      <c r="AP42" s="103"/>
      <c r="AQ42" s="30">
        <f>SUM(AQ36:AQ40)</f>
        <v>5157.164</v>
      </c>
      <c r="AR42" s="30">
        <f t="shared" si="13"/>
        <v>14139.059000000001</v>
      </c>
      <c r="AS42" s="103">
        <f t="shared" si="13"/>
        <v>4.067</v>
      </c>
      <c r="AT42" s="30">
        <f t="shared" si="13"/>
        <v>4036.017</v>
      </c>
      <c r="AU42" s="103">
        <f t="shared" si="13"/>
        <v>0.082</v>
      </c>
      <c r="AV42" s="30">
        <f>SUM(AV36:AV40)</f>
        <v>30808</v>
      </c>
      <c r="AW42" s="103"/>
      <c r="AX42" s="30">
        <f t="shared" si="13"/>
        <v>259.781</v>
      </c>
      <c r="AY42" s="30">
        <f t="shared" si="13"/>
        <v>1733.421</v>
      </c>
      <c r="AZ42" s="103">
        <v>1532.418</v>
      </c>
      <c r="BA42" s="30">
        <f t="shared" si="13"/>
        <v>8613.549</v>
      </c>
      <c r="BB42" s="30">
        <f t="shared" si="13"/>
        <v>19975.183999999997</v>
      </c>
      <c r="BC42" s="103">
        <f t="shared" si="13"/>
        <v>19945.939</v>
      </c>
      <c r="BD42" s="30">
        <f t="shared" si="13"/>
        <v>12426.521</v>
      </c>
      <c r="BE42" s="103"/>
      <c r="BF42" s="30">
        <f>SUM(BF36:BF40)</f>
        <v>26232.492</v>
      </c>
      <c r="BG42" s="103"/>
      <c r="BH42" s="30">
        <f>SUM(BH36:BH40)</f>
        <v>1558.625</v>
      </c>
      <c r="BI42" s="103"/>
      <c r="BJ42" s="30">
        <f t="shared" si="13"/>
        <v>1297.814</v>
      </c>
      <c r="BK42" s="30">
        <f t="shared" si="13"/>
        <v>930.286</v>
      </c>
      <c r="BL42" s="103">
        <f t="shared" si="13"/>
        <v>846.286</v>
      </c>
      <c r="BM42" s="103">
        <f t="shared" si="13"/>
        <v>84</v>
      </c>
      <c r="BN42" s="30">
        <f aca="true" t="shared" si="14" ref="BN42:CR42">SUM(BN36:BN40)</f>
        <v>3439.685</v>
      </c>
      <c r="BO42" s="30">
        <f>SUM(BO36:BO40)</f>
        <v>2364.403</v>
      </c>
      <c r="BP42" s="30">
        <f t="shared" si="14"/>
        <v>0</v>
      </c>
      <c r="BQ42" s="30">
        <f t="shared" si="14"/>
        <v>4318.354</v>
      </c>
      <c r="BR42" s="30">
        <f>SUM(BR36:BR40)</f>
        <v>2158.194</v>
      </c>
      <c r="BS42" s="103">
        <f>SUM(BS36:BS40)</f>
        <v>1896.232</v>
      </c>
      <c r="BT42" s="103">
        <f>SUM(BT36:BT40)</f>
        <v>261.961</v>
      </c>
      <c r="BU42" s="103">
        <f>SUM(BU36:BU40)</f>
        <v>0</v>
      </c>
      <c r="BV42" s="30">
        <f>SUM(BV36:BV40)</f>
        <v>0</v>
      </c>
      <c r="BW42" s="30">
        <f t="shared" si="14"/>
        <v>1293.523</v>
      </c>
      <c r="BX42" s="30">
        <f>SUM(BX36:BX40)</f>
        <v>4101.803</v>
      </c>
      <c r="BY42" s="103">
        <f>SUM(BY36:BY40)</f>
        <v>3855.985</v>
      </c>
      <c r="BZ42" s="30">
        <f>SUM(BZ36:BZ40)</f>
        <v>1279.262</v>
      </c>
      <c r="CA42" s="103">
        <f>SUM(CA36:CA40)</f>
        <v>445.1189999999999</v>
      </c>
      <c r="CB42" s="103">
        <f>SUM(CB36:CB40)</f>
        <v>834.143</v>
      </c>
      <c r="CC42" s="30">
        <f t="shared" si="14"/>
        <v>645.928</v>
      </c>
      <c r="CD42" s="30">
        <f t="shared" si="14"/>
        <v>4168.008</v>
      </c>
      <c r="CE42" s="103">
        <v>4168.008</v>
      </c>
      <c r="CF42" s="30">
        <f t="shared" si="14"/>
        <v>1048.395</v>
      </c>
      <c r="CG42" s="30">
        <f t="shared" si="14"/>
        <v>1630.212</v>
      </c>
      <c r="CH42" s="30">
        <f t="shared" si="14"/>
        <v>333.17</v>
      </c>
      <c r="CI42" s="30">
        <f t="shared" si="14"/>
        <v>738.251</v>
      </c>
      <c r="CJ42" s="30">
        <f>SUM(CJ36:CJ40)</f>
        <v>591.475</v>
      </c>
      <c r="CK42" s="30">
        <f t="shared" si="14"/>
        <v>0</v>
      </c>
      <c r="CL42" s="30">
        <f t="shared" si="14"/>
        <v>160.452</v>
      </c>
      <c r="CM42" s="30">
        <f t="shared" si="14"/>
        <v>0</v>
      </c>
      <c r="CN42" s="30">
        <f t="shared" si="14"/>
        <v>641.394</v>
      </c>
      <c r="CO42" s="30">
        <f t="shared" si="14"/>
        <v>1.883</v>
      </c>
      <c r="CP42" s="30">
        <f>SUM(CP36:CP40)</f>
        <v>366.313</v>
      </c>
      <c r="CQ42" s="103">
        <f>SUM(CQ36:CQ40)</f>
        <v>0</v>
      </c>
      <c r="CR42" s="30">
        <f t="shared" si="14"/>
        <v>0</v>
      </c>
      <c r="CS42" s="30">
        <f>SUM(CS36:CS40)</f>
        <v>0</v>
      </c>
      <c r="CT42" s="30"/>
      <c r="CV42" s="30">
        <f t="shared" si="0"/>
        <v>741066.0180000002</v>
      </c>
      <c r="CW42" s="30"/>
      <c r="CX42" s="30">
        <f t="shared" si="1"/>
        <v>68154.001</v>
      </c>
      <c r="CY42" s="30">
        <f t="shared" si="2"/>
        <v>672912.017</v>
      </c>
      <c r="CZ42" s="30"/>
      <c r="DA42" s="30">
        <f t="shared" si="3"/>
        <v>0</v>
      </c>
    </row>
    <row r="43" spans="1:105" ht="8.25" customHeight="1">
      <c r="A43" s="139"/>
      <c r="CV43" s="30"/>
      <c r="CW43" s="30"/>
      <c r="CX43" s="30"/>
      <c r="CY43" s="30"/>
      <c r="DA43" s="30">
        <f t="shared" si="3"/>
        <v>0</v>
      </c>
    </row>
    <row r="44" spans="1:105" ht="12.75">
      <c r="A44" s="141" t="s">
        <v>233</v>
      </c>
      <c r="CV44" s="30"/>
      <c r="CW44" s="30"/>
      <c r="CX44" s="30"/>
      <c r="CY44" s="30"/>
      <c r="DA44" s="30">
        <f t="shared" si="3"/>
        <v>0</v>
      </c>
    </row>
    <row r="45" spans="1:105" ht="12.75">
      <c r="A45" s="137" t="s">
        <v>228</v>
      </c>
      <c r="B45" s="133">
        <v>95044.323</v>
      </c>
      <c r="C45" s="138">
        <v>0</v>
      </c>
      <c r="D45" s="133">
        <v>83639</v>
      </c>
      <c r="E45" s="138">
        <v>73268</v>
      </c>
      <c r="F45" s="138">
        <v>7935</v>
      </c>
      <c r="G45" s="138">
        <v>1615</v>
      </c>
      <c r="H45" s="138">
        <v>334</v>
      </c>
      <c r="I45" s="138">
        <v>487</v>
      </c>
      <c r="J45" s="133">
        <v>87510.98</v>
      </c>
      <c r="K45" s="138">
        <v>37.759</v>
      </c>
      <c r="L45" s="133">
        <v>32438.302</v>
      </c>
      <c r="M45" s="138">
        <v>32159.335</v>
      </c>
      <c r="N45" s="138">
        <v>190.069</v>
      </c>
      <c r="O45" s="138">
        <v>88.898</v>
      </c>
      <c r="P45" s="133">
        <v>42076.204</v>
      </c>
      <c r="Q45" s="138">
        <v>0</v>
      </c>
      <c r="R45" s="133">
        <f>10990.23+7069.592</f>
        <v>18059.822</v>
      </c>
      <c r="S45" s="138"/>
      <c r="T45" s="133">
        <v>22629.065</v>
      </c>
      <c r="U45" s="138">
        <v>0</v>
      </c>
      <c r="V45" s="133">
        <v>19413.243</v>
      </c>
      <c r="W45" s="138">
        <v>16814.336</v>
      </c>
      <c r="X45" s="138">
        <f>+V45-W45</f>
        <v>2598.9069999999992</v>
      </c>
      <c r="Y45" s="133">
        <v>29347.198</v>
      </c>
      <c r="Z45" s="138"/>
      <c r="AA45" s="133">
        <v>31246.749</v>
      </c>
      <c r="AB45" s="138"/>
      <c r="AC45" s="133">
        <v>41365.704</v>
      </c>
      <c r="AD45" s="133">
        <v>28161.898</v>
      </c>
      <c r="AE45" s="138"/>
      <c r="AF45" s="133">
        <v>14915</v>
      </c>
      <c r="AG45" s="133">
        <v>18952.75</v>
      </c>
      <c r="AH45" s="133">
        <v>25521.158</v>
      </c>
      <c r="AI45" s="133">
        <v>28191.804</v>
      </c>
      <c r="AJ45" s="138">
        <v>990.58</v>
      </c>
      <c r="AK45" s="133">
        <v>18105.205</v>
      </c>
      <c r="AL45" s="138">
        <v>15.872</v>
      </c>
      <c r="AM45" s="133">
        <v>12041.232</v>
      </c>
      <c r="AN45" s="138">
        <v>44060</v>
      </c>
      <c r="AO45" s="133">
        <v>5390.633</v>
      </c>
      <c r="AP45" s="138"/>
      <c r="AQ45" s="133">
        <v>7481.751</v>
      </c>
      <c r="AR45" s="133">
        <v>11942.667</v>
      </c>
      <c r="AS45" s="138">
        <v>3.435</v>
      </c>
      <c r="AT45" s="133">
        <v>3254.428</v>
      </c>
      <c r="AU45" s="138">
        <v>0.082</v>
      </c>
      <c r="AV45" s="133">
        <v>887</v>
      </c>
      <c r="AW45" s="138"/>
      <c r="AX45" s="133">
        <v>1673.584</v>
      </c>
      <c r="AY45" s="133">
        <v>4519.319</v>
      </c>
      <c r="AZ45" s="138"/>
      <c r="BA45" s="133">
        <v>10527.671</v>
      </c>
      <c r="BB45" s="133">
        <v>865.203</v>
      </c>
      <c r="BC45" s="138">
        <f>865.203-14.623</f>
        <v>850.5799999999999</v>
      </c>
      <c r="BD45" s="133">
        <v>9257.054</v>
      </c>
      <c r="BE45" s="138"/>
      <c r="BF45" s="133">
        <v>6710.443</v>
      </c>
      <c r="BG45" s="138"/>
      <c r="BH45" s="133">
        <v>1904.986</v>
      </c>
      <c r="BI45" s="138"/>
      <c r="BJ45" s="133">
        <v>26335.059</v>
      </c>
      <c r="BK45" s="133">
        <v>3621.165</v>
      </c>
      <c r="BL45" s="138">
        <v>3169.483</v>
      </c>
      <c r="BM45" s="138">
        <v>451.682</v>
      </c>
      <c r="BN45" s="133">
        <v>958.184</v>
      </c>
      <c r="BO45" s="133">
        <v>921.641</v>
      </c>
      <c r="BP45" s="133">
        <v>4930.779</v>
      </c>
      <c r="BQ45" s="133">
        <v>3533.199</v>
      </c>
      <c r="BR45" s="133">
        <v>23232.32</v>
      </c>
      <c r="BS45" s="138">
        <v>20350.867</v>
      </c>
      <c r="BT45" s="138">
        <v>2881.453</v>
      </c>
      <c r="BU45" s="138">
        <v>0</v>
      </c>
      <c r="BV45" s="133">
        <v>2175.63</v>
      </c>
      <c r="BW45" s="133">
        <v>1979.994</v>
      </c>
      <c r="BX45" s="133">
        <v>0</v>
      </c>
      <c r="BY45" s="138">
        <v>0</v>
      </c>
      <c r="BZ45" s="133">
        <v>5735.128</v>
      </c>
      <c r="CA45" s="138">
        <f>+BZ45-CB45</f>
        <v>3057.0879999999997</v>
      </c>
      <c r="CB45" s="138">
        <v>2678.04</v>
      </c>
      <c r="CC45" s="133">
        <v>459.671</v>
      </c>
      <c r="CD45" s="133">
        <v>0</v>
      </c>
      <c r="CE45" s="138"/>
      <c r="CF45" s="133">
        <v>3474.065</v>
      </c>
      <c r="CG45" s="133">
        <v>1168.15</v>
      </c>
      <c r="CH45" s="133">
        <v>371.381</v>
      </c>
      <c r="CI45" s="133">
        <v>625.19</v>
      </c>
      <c r="CJ45" s="133">
        <v>1607.706</v>
      </c>
      <c r="CK45" s="133">
        <v>0</v>
      </c>
      <c r="CL45" s="133">
        <v>226.707</v>
      </c>
      <c r="CM45" s="133">
        <v>1893.842</v>
      </c>
      <c r="CN45" s="133">
        <v>641.395</v>
      </c>
      <c r="CO45" s="133">
        <v>680.796</v>
      </c>
      <c r="CP45" s="133">
        <v>732.627</v>
      </c>
      <c r="CQ45" s="138">
        <v>0</v>
      </c>
      <c r="CR45" s="133">
        <v>690.554</v>
      </c>
      <c r="CS45" s="133">
        <v>0</v>
      </c>
      <c r="CT45" s="133"/>
      <c r="CV45" s="30">
        <f t="shared" si="0"/>
        <v>799069.5589999999</v>
      </c>
      <c r="CW45" s="30"/>
      <c r="CX45" s="30">
        <f t="shared" si="1"/>
        <v>159517.944</v>
      </c>
      <c r="CY45" s="30">
        <f t="shared" si="2"/>
        <v>639551.6149999999</v>
      </c>
      <c r="CZ45" s="133"/>
      <c r="DA45" s="30">
        <f t="shared" si="3"/>
        <v>0</v>
      </c>
    </row>
    <row r="46" spans="1:105" ht="12.75">
      <c r="A46" s="137" t="s">
        <v>208</v>
      </c>
      <c r="B46" s="133">
        <v>0</v>
      </c>
      <c r="C46" s="138">
        <v>143.415</v>
      </c>
      <c r="D46" s="133">
        <v>4664</v>
      </c>
      <c r="E46" s="138">
        <v>2332</v>
      </c>
      <c r="F46" s="138">
        <v>2332</v>
      </c>
      <c r="G46" s="138">
        <v>0</v>
      </c>
      <c r="H46" s="138">
        <v>0</v>
      </c>
      <c r="I46" s="138">
        <v>0</v>
      </c>
      <c r="J46" s="133">
        <v>0</v>
      </c>
      <c r="K46" s="138">
        <v>0</v>
      </c>
      <c r="L46" s="133">
        <v>41872.304</v>
      </c>
      <c r="M46" s="138">
        <v>41872.304</v>
      </c>
      <c r="N46" s="138">
        <v>0</v>
      </c>
      <c r="O46" s="138">
        <v>0</v>
      </c>
      <c r="P46" s="133">
        <v>8303.323</v>
      </c>
      <c r="Q46" s="138">
        <v>0</v>
      </c>
      <c r="R46" s="133">
        <v>16947.374</v>
      </c>
      <c r="S46" s="138"/>
      <c r="T46" s="133">
        <v>0</v>
      </c>
      <c r="U46" s="138">
        <v>0</v>
      </c>
      <c r="V46" s="133">
        <v>0</v>
      </c>
      <c r="W46" s="138">
        <v>0</v>
      </c>
      <c r="X46" s="138">
        <f>+V46-W46</f>
        <v>0</v>
      </c>
      <c r="Y46" s="133">
        <v>0</v>
      </c>
      <c r="Z46" s="138"/>
      <c r="AA46" s="133">
        <v>0</v>
      </c>
      <c r="AB46" s="138"/>
      <c r="AC46" s="133">
        <v>0</v>
      </c>
      <c r="AD46" s="133">
        <v>0</v>
      </c>
      <c r="AE46" s="138"/>
      <c r="AF46" s="133">
        <v>0</v>
      </c>
      <c r="AG46" s="133">
        <v>2503.975</v>
      </c>
      <c r="AH46" s="133">
        <v>0</v>
      </c>
      <c r="AI46" s="133">
        <v>0</v>
      </c>
      <c r="AJ46" s="138">
        <v>0</v>
      </c>
      <c r="AK46" s="133">
        <v>0</v>
      </c>
      <c r="AL46" s="138">
        <v>0</v>
      </c>
      <c r="AM46" s="133">
        <v>0</v>
      </c>
      <c r="AN46" s="138">
        <v>0</v>
      </c>
      <c r="AO46" s="133">
        <v>0</v>
      </c>
      <c r="AP46" s="138"/>
      <c r="AQ46" s="133">
        <v>518.191</v>
      </c>
      <c r="AR46" s="133">
        <v>0</v>
      </c>
      <c r="AS46" s="138">
        <v>0</v>
      </c>
      <c r="AT46" s="133">
        <v>2115.425</v>
      </c>
      <c r="AU46" s="138">
        <v>0</v>
      </c>
      <c r="AV46" s="133">
        <v>0</v>
      </c>
      <c r="AW46" s="138"/>
      <c r="AX46" s="133">
        <v>0</v>
      </c>
      <c r="AY46" s="133">
        <v>0</v>
      </c>
      <c r="AZ46" s="138"/>
      <c r="BA46" s="133">
        <v>0</v>
      </c>
      <c r="BB46" s="133">
        <v>668.128</v>
      </c>
      <c r="BC46" s="138">
        <f>668.128-0.211</f>
        <v>667.917</v>
      </c>
      <c r="BD46" s="133">
        <v>0</v>
      </c>
      <c r="BE46" s="138"/>
      <c r="BF46" s="133">
        <v>0</v>
      </c>
      <c r="BG46" s="138"/>
      <c r="BH46" s="133">
        <v>0</v>
      </c>
      <c r="BI46" s="138"/>
      <c r="BJ46" s="133">
        <v>0</v>
      </c>
      <c r="BK46" s="133">
        <v>0</v>
      </c>
      <c r="BL46" s="138">
        <v>0</v>
      </c>
      <c r="BM46" s="138">
        <v>0</v>
      </c>
      <c r="BN46" s="133">
        <v>1231.354</v>
      </c>
      <c r="BO46" s="133">
        <v>0</v>
      </c>
      <c r="BP46" s="133">
        <v>0</v>
      </c>
      <c r="BQ46" s="133">
        <v>0</v>
      </c>
      <c r="BR46" s="133">
        <v>0</v>
      </c>
      <c r="BS46" s="138">
        <v>0</v>
      </c>
      <c r="BT46" s="138">
        <v>0</v>
      </c>
      <c r="BU46" s="138">
        <v>0</v>
      </c>
      <c r="BV46" s="133">
        <v>0</v>
      </c>
      <c r="BW46" s="133">
        <v>1850.52</v>
      </c>
      <c r="BX46" s="133">
        <v>4421.503</v>
      </c>
      <c r="BY46" s="138">
        <v>0</v>
      </c>
      <c r="BZ46" s="133">
        <v>0</v>
      </c>
      <c r="CA46" s="138">
        <f>+BZ46-CB46</f>
        <v>0</v>
      </c>
      <c r="CB46" s="138">
        <v>0</v>
      </c>
      <c r="CC46" s="133">
        <v>2035.615</v>
      </c>
      <c r="CD46" s="133">
        <v>1263.87</v>
      </c>
      <c r="CE46" s="138"/>
      <c r="CF46" s="133">
        <v>0</v>
      </c>
      <c r="CG46" s="133">
        <v>0</v>
      </c>
      <c r="CH46" s="133">
        <v>1125.309</v>
      </c>
      <c r="CI46" s="133">
        <v>0</v>
      </c>
      <c r="CJ46" s="133">
        <v>0</v>
      </c>
      <c r="CK46" s="133">
        <v>1172.958</v>
      </c>
      <c r="CL46" s="133">
        <v>26.369</v>
      </c>
      <c r="CM46" s="133">
        <v>0</v>
      </c>
      <c r="CN46" s="133">
        <v>0</v>
      </c>
      <c r="CO46" s="133">
        <v>1586.521</v>
      </c>
      <c r="CP46" s="133">
        <v>0</v>
      </c>
      <c r="CQ46" s="138">
        <v>0</v>
      </c>
      <c r="CR46" s="133">
        <v>0</v>
      </c>
      <c r="CS46" s="133">
        <v>195.124</v>
      </c>
      <c r="CT46" s="133"/>
      <c r="CV46" s="30">
        <f t="shared" si="0"/>
        <v>92501.863</v>
      </c>
      <c r="CW46" s="30"/>
      <c r="CX46" s="30">
        <f t="shared" si="1"/>
        <v>9850.586000000001</v>
      </c>
      <c r="CY46" s="30">
        <f t="shared" si="2"/>
        <v>82651.27699999999</v>
      </c>
      <c r="CZ46" s="133"/>
      <c r="DA46" s="30">
        <f t="shared" si="3"/>
        <v>0</v>
      </c>
    </row>
    <row r="47" spans="1:105" ht="5.25" customHeight="1">
      <c r="A47" s="139"/>
      <c r="CV47" s="30"/>
      <c r="CW47" s="30"/>
      <c r="CX47" s="30"/>
      <c r="CY47" s="30"/>
      <c r="DA47" s="30">
        <f t="shared" si="3"/>
        <v>0</v>
      </c>
    </row>
    <row r="48" spans="1:105" ht="12.75">
      <c r="A48" s="140" t="s">
        <v>225</v>
      </c>
      <c r="B48" s="30">
        <f aca="true" t="shared" si="15" ref="B48:BM48">SUM(B45:B46)</f>
        <v>95044.323</v>
      </c>
      <c r="C48" s="103">
        <f>SUM(C45:C46)</f>
        <v>143.415</v>
      </c>
      <c r="D48" s="30">
        <f t="shared" si="15"/>
        <v>88303</v>
      </c>
      <c r="E48" s="103">
        <f t="shared" si="15"/>
        <v>75600</v>
      </c>
      <c r="F48" s="103">
        <f t="shared" si="15"/>
        <v>10267</v>
      </c>
      <c r="G48" s="103">
        <f t="shared" si="15"/>
        <v>1615</v>
      </c>
      <c r="H48" s="103">
        <f t="shared" si="15"/>
        <v>334</v>
      </c>
      <c r="I48" s="103">
        <f t="shared" si="15"/>
        <v>487</v>
      </c>
      <c r="J48" s="30">
        <f t="shared" si="15"/>
        <v>87510.98</v>
      </c>
      <c r="K48" s="103">
        <f t="shared" si="15"/>
        <v>37.759</v>
      </c>
      <c r="L48" s="30">
        <f t="shared" si="15"/>
        <v>74310.606</v>
      </c>
      <c r="M48" s="103">
        <f t="shared" si="15"/>
        <v>74031.639</v>
      </c>
      <c r="N48" s="103">
        <f t="shared" si="15"/>
        <v>190.069</v>
      </c>
      <c r="O48" s="103">
        <f t="shared" si="15"/>
        <v>88.898</v>
      </c>
      <c r="P48" s="30">
        <f t="shared" si="15"/>
        <v>50379.527</v>
      </c>
      <c r="Q48" s="103">
        <f t="shared" si="15"/>
        <v>0</v>
      </c>
      <c r="R48" s="30">
        <f t="shared" si="15"/>
        <v>35007.195999999996</v>
      </c>
      <c r="S48" s="103">
        <v>61.678</v>
      </c>
      <c r="T48" s="30">
        <f t="shared" si="15"/>
        <v>22629.065</v>
      </c>
      <c r="U48" s="103">
        <v>104.194</v>
      </c>
      <c r="V48" s="30">
        <f t="shared" si="15"/>
        <v>19413.243</v>
      </c>
      <c r="W48" s="103">
        <f t="shared" si="15"/>
        <v>16814.336</v>
      </c>
      <c r="X48" s="103">
        <f t="shared" si="15"/>
        <v>2598.9069999999992</v>
      </c>
      <c r="Y48" s="30">
        <f>SUM(Y45:Y46)</f>
        <v>29347.198</v>
      </c>
      <c r="Z48" s="103"/>
      <c r="AA48" s="30">
        <f t="shared" si="15"/>
        <v>31246.749</v>
      </c>
      <c r="AB48" s="103">
        <v>1051.37</v>
      </c>
      <c r="AC48" s="30">
        <f t="shared" si="15"/>
        <v>41365.704</v>
      </c>
      <c r="AD48" s="30">
        <f t="shared" si="15"/>
        <v>28161.898</v>
      </c>
      <c r="AE48" s="103">
        <v>16</v>
      </c>
      <c r="AF48" s="30">
        <f>SUM(AF45:AF46)</f>
        <v>14915</v>
      </c>
      <c r="AG48" s="30">
        <f t="shared" si="15"/>
        <v>21456.725</v>
      </c>
      <c r="AH48" s="30">
        <f>SUM(AH45:AH46)</f>
        <v>25521.158</v>
      </c>
      <c r="AI48" s="30">
        <f t="shared" si="15"/>
        <v>28191.804</v>
      </c>
      <c r="AJ48" s="103">
        <f t="shared" si="15"/>
        <v>990.58</v>
      </c>
      <c r="AK48" s="30">
        <f t="shared" si="15"/>
        <v>18105.205</v>
      </c>
      <c r="AL48" s="103">
        <f t="shared" si="15"/>
        <v>15.872</v>
      </c>
      <c r="AM48" s="30">
        <f t="shared" si="15"/>
        <v>12041.232</v>
      </c>
      <c r="AN48" s="103">
        <f t="shared" si="15"/>
        <v>44060</v>
      </c>
      <c r="AO48" s="30">
        <f>SUM(AO45:AO46)</f>
        <v>5390.633</v>
      </c>
      <c r="AP48" s="103">
        <v>7316</v>
      </c>
      <c r="AQ48" s="30">
        <f>SUM(AQ45:AQ46)</f>
        <v>7999.942</v>
      </c>
      <c r="AR48" s="30">
        <f t="shared" si="15"/>
        <v>11942.667</v>
      </c>
      <c r="AS48" s="103">
        <f t="shared" si="15"/>
        <v>3.435</v>
      </c>
      <c r="AT48" s="30">
        <f t="shared" si="15"/>
        <v>5369.853</v>
      </c>
      <c r="AU48" s="103">
        <f t="shared" si="15"/>
        <v>0.082</v>
      </c>
      <c r="AV48" s="30">
        <f>SUM(AV45:AV46)</f>
        <v>887</v>
      </c>
      <c r="AW48" s="103"/>
      <c r="AX48" s="30">
        <f t="shared" si="15"/>
        <v>1673.584</v>
      </c>
      <c r="AY48" s="30">
        <f t="shared" si="15"/>
        <v>4519.319</v>
      </c>
      <c r="AZ48" s="103">
        <v>3995.271</v>
      </c>
      <c r="BA48" s="30">
        <f t="shared" si="15"/>
        <v>10527.671</v>
      </c>
      <c r="BB48" s="30">
        <f t="shared" si="15"/>
        <v>1533.3310000000001</v>
      </c>
      <c r="BC48" s="103">
        <f t="shared" si="15"/>
        <v>1518.4969999999998</v>
      </c>
      <c r="BD48" s="30">
        <f t="shared" si="15"/>
        <v>9257.054</v>
      </c>
      <c r="BE48" s="103"/>
      <c r="BF48" s="30">
        <f>SUM(BF45:BF46)</f>
        <v>6710.443</v>
      </c>
      <c r="BG48" s="103"/>
      <c r="BH48" s="30">
        <f>SUM(BH45:BH46)</f>
        <v>1904.986</v>
      </c>
      <c r="BI48" s="103"/>
      <c r="BJ48" s="30">
        <f t="shared" si="15"/>
        <v>26335.059</v>
      </c>
      <c r="BK48" s="30">
        <f t="shared" si="15"/>
        <v>3621.165</v>
      </c>
      <c r="BL48" s="103">
        <f t="shared" si="15"/>
        <v>3169.483</v>
      </c>
      <c r="BM48" s="103">
        <f t="shared" si="15"/>
        <v>451.682</v>
      </c>
      <c r="BN48" s="30">
        <f aca="true" t="shared" si="16" ref="BN48:CR48">SUM(BN45:BN46)</f>
        <v>2189.538</v>
      </c>
      <c r="BO48" s="30">
        <f>SUM(BO45:BO46)</f>
        <v>921.641</v>
      </c>
      <c r="BP48" s="30">
        <f t="shared" si="16"/>
        <v>4930.779</v>
      </c>
      <c r="BQ48" s="30">
        <f t="shared" si="16"/>
        <v>3533.199</v>
      </c>
      <c r="BR48" s="30">
        <f>SUM(BR45:BR46)</f>
        <v>23232.32</v>
      </c>
      <c r="BS48" s="103">
        <f>SUM(BS45:BS46)</f>
        <v>20350.867</v>
      </c>
      <c r="BT48" s="103">
        <f>SUM(BT45:BT46)</f>
        <v>2881.453</v>
      </c>
      <c r="BU48" s="103">
        <f>SUM(BU45:BU46)</f>
        <v>0</v>
      </c>
      <c r="BV48" s="30">
        <f>SUM(BV45:BV46)</f>
        <v>2175.63</v>
      </c>
      <c r="BW48" s="30">
        <f t="shared" si="16"/>
        <v>3830.514</v>
      </c>
      <c r="BX48" s="30">
        <f>SUM(BX45:BX46)</f>
        <v>4421.503</v>
      </c>
      <c r="BY48" s="103">
        <f>4421.503-122.054</f>
        <v>4299.449</v>
      </c>
      <c r="BZ48" s="30">
        <f>SUM(BZ45:BZ46)</f>
        <v>5735.128</v>
      </c>
      <c r="CA48" s="103">
        <f>SUM(CA45:CA46)</f>
        <v>3057.0879999999997</v>
      </c>
      <c r="CB48" s="103">
        <f>SUM(CB45:CB46)</f>
        <v>2678.04</v>
      </c>
      <c r="CC48" s="30">
        <f t="shared" si="16"/>
        <v>2495.286</v>
      </c>
      <c r="CD48" s="30">
        <f t="shared" si="16"/>
        <v>1263.87</v>
      </c>
      <c r="CE48" s="103">
        <v>1263.87</v>
      </c>
      <c r="CF48" s="30">
        <f t="shared" si="16"/>
        <v>3474.065</v>
      </c>
      <c r="CG48" s="30">
        <f t="shared" si="16"/>
        <v>1168.15</v>
      </c>
      <c r="CH48" s="30">
        <f t="shared" si="16"/>
        <v>1496.69</v>
      </c>
      <c r="CI48" s="30">
        <f t="shared" si="16"/>
        <v>625.19</v>
      </c>
      <c r="CJ48" s="30">
        <f>SUM(CJ45:CJ46)</f>
        <v>1607.706</v>
      </c>
      <c r="CK48" s="30">
        <f t="shared" si="16"/>
        <v>1172.958</v>
      </c>
      <c r="CL48" s="30">
        <f t="shared" si="16"/>
        <v>253.076</v>
      </c>
      <c r="CM48" s="30">
        <f t="shared" si="16"/>
        <v>1893.842</v>
      </c>
      <c r="CN48" s="30">
        <f t="shared" si="16"/>
        <v>641.395</v>
      </c>
      <c r="CO48" s="30">
        <f t="shared" si="16"/>
        <v>2267.317</v>
      </c>
      <c r="CP48" s="30">
        <f>SUM(CP45:CP46)</f>
        <v>732.627</v>
      </c>
      <c r="CQ48" s="103">
        <f>SUM(CQ45:CQ46)</f>
        <v>0</v>
      </c>
      <c r="CR48" s="30">
        <f t="shared" si="16"/>
        <v>690.554</v>
      </c>
      <c r="CS48" s="30">
        <f>SUM(CS45:CS46)</f>
        <v>195.124</v>
      </c>
      <c r="CT48" s="30"/>
      <c r="CV48" s="30">
        <f t="shared" si="0"/>
        <v>891571.4219999998</v>
      </c>
      <c r="CW48" s="30"/>
      <c r="CX48" s="30">
        <f t="shared" si="1"/>
        <v>169368.53</v>
      </c>
      <c r="CY48" s="30">
        <f t="shared" si="2"/>
        <v>722202.8919999999</v>
      </c>
      <c r="CZ48" s="30"/>
      <c r="DA48" s="30">
        <f t="shared" si="3"/>
        <v>0</v>
      </c>
    </row>
    <row r="49" spans="1:105" ht="8.25" customHeight="1">
      <c r="A49" s="139"/>
      <c r="CV49" s="30"/>
      <c r="CW49" s="30"/>
      <c r="CX49" s="30"/>
      <c r="CY49" s="30"/>
      <c r="DA49" s="30">
        <f t="shared" si="3"/>
        <v>0</v>
      </c>
    </row>
    <row r="50" spans="1:105" ht="12.75">
      <c r="A50" s="135" t="s">
        <v>234</v>
      </c>
      <c r="B50" s="30">
        <v>31983.883</v>
      </c>
      <c r="C50" s="103">
        <v>0</v>
      </c>
      <c r="D50" s="30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30">
        <v>17613.191</v>
      </c>
      <c r="K50" s="103">
        <v>0</v>
      </c>
      <c r="L50" s="30">
        <v>0</v>
      </c>
      <c r="M50" s="103">
        <v>0</v>
      </c>
      <c r="N50" s="103">
        <v>0</v>
      </c>
      <c r="O50" s="103">
        <v>0</v>
      </c>
      <c r="P50" s="30">
        <v>0</v>
      </c>
      <c r="Q50" s="103">
        <v>0</v>
      </c>
      <c r="R50" s="30">
        <v>4205.106</v>
      </c>
      <c r="S50" s="103"/>
      <c r="T50" s="30">
        <v>0</v>
      </c>
      <c r="U50" s="103">
        <v>0</v>
      </c>
      <c r="V50" s="30">
        <v>0</v>
      </c>
      <c r="W50" s="103">
        <v>0</v>
      </c>
      <c r="X50" s="103">
        <v>0</v>
      </c>
      <c r="Y50" s="30">
        <v>0</v>
      </c>
      <c r="Z50" s="103"/>
      <c r="AA50" s="30">
        <v>0</v>
      </c>
      <c r="AB50" s="103"/>
      <c r="AC50" s="30">
        <v>0</v>
      </c>
      <c r="AD50" s="30">
        <v>0</v>
      </c>
      <c r="AE50" s="103"/>
      <c r="AF50" s="30">
        <v>0</v>
      </c>
      <c r="AG50" s="30">
        <v>0</v>
      </c>
      <c r="AH50" s="30">
        <v>5141.547</v>
      </c>
      <c r="AI50" s="30">
        <v>2211.163</v>
      </c>
      <c r="AJ50" s="103">
        <v>0</v>
      </c>
      <c r="AK50" s="30">
        <v>0</v>
      </c>
      <c r="AL50" s="103">
        <v>0</v>
      </c>
      <c r="AM50" s="30">
        <v>0</v>
      </c>
      <c r="AN50" s="103"/>
      <c r="AO50" s="30">
        <v>0</v>
      </c>
      <c r="AP50" s="103"/>
      <c r="AQ50" s="30">
        <v>0</v>
      </c>
      <c r="AR50" s="30">
        <v>343.634</v>
      </c>
      <c r="AS50" s="103">
        <v>0.099</v>
      </c>
      <c r="AT50" s="30">
        <v>0</v>
      </c>
      <c r="AU50" s="103">
        <v>0</v>
      </c>
      <c r="AV50" s="30">
        <v>0</v>
      </c>
      <c r="AW50" s="103"/>
      <c r="AX50" s="30">
        <v>0</v>
      </c>
      <c r="AY50" s="30">
        <v>0</v>
      </c>
      <c r="AZ50" s="103"/>
      <c r="BA50" s="30">
        <v>0</v>
      </c>
      <c r="BB50" s="30">
        <v>0</v>
      </c>
      <c r="BC50" s="103">
        <v>0</v>
      </c>
      <c r="BD50" s="30">
        <v>0</v>
      </c>
      <c r="BE50" s="103"/>
      <c r="BF50" s="30">
        <v>4042.946</v>
      </c>
      <c r="BG50" s="103"/>
      <c r="BH50" s="30">
        <v>0</v>
      </c>
      <c r="BI50" s="103"/>
      <c r="BJ50" s="30">
        <v>0</v>
      </c>
      <c r="BK50" s="30">
        <v>0</v>
      </c>
      <c r="BL50" s="103">
        <v>0</v>
      </c>
      <c r="BM50" s="103">
        <v>0</v>
      </c>
      <c r="BN50" s="30">
        <v>0</v>
      </c>
      <c r="BO50" s="30">
        <v>0</v>
      </c>
      <c r="BP50" s="30">
        <v>2942.99</v>
      </c>
      <c r="BQ50" s="30">
        <v>571.678</v>
      </c>
      <c r="BR50" s="30">
        <v>0</v>
      </c>
      <c r="BS50" s="103">
        <v>0</v>
      </c>
      <c r="BT50" s="103">
        <v>0</v>
      </c>
      <c r="BU50" s="103">
        <v>0</v>
      </c>
      <c r="BV50" s="30">
        <v>0</v>
      </c>
      <c r="BW50" s="30">
        <v>5124.037</v>
      </c>
      <c r="BX50" s="30">
        <v>0</v>
      </c>
      <c r="BY50" s="103">
        <v>0</v>
      </c>
      <c r="BZ50" s="30">
        <v>0</v>
      </c>
      <c r="CA50" s="103">
        <f>+BZ50-CB50</f>
        <v>0</v>
      </c>
      <c r="CB50" s="103">
        <v>0</v>
      </c>
      <c r="CC50" s="30">
        <v>0</v>
      </c>
      <c r="CD50" s="30">
        <v>0</v>
      </c>
      <c r="CE50" s="103">
        <v>0</v>
      </c>
      <c r="CF50" s="30">
        <v>0</v>
      </c>
      <c r="CG50" s="30">
        <v>0</v>
      </c>
      <c r="CH50" s="30">
        <v>0</v>
      </c>
      <c r="CI50" s="30">
        <v>0</v>
      </c>
      <c r="CJ50" s="30">
        <v>0</v>
      </c>
      <c r="CK50" s="30">
        <v>0</v>
      </c>
      <c r="CL50" s="30">
        <v>0</v>
      </c>
      <c r="CM50" s="30">
        <v>0</v>
      </c>
      <c r="CN50" s="30">
        <v>0</v>
      </c>
      <c r="CO50" s="30">
        <v>0</v>
      </c>
      <c r="CP50" s="30">
        <v>0</v>
      </c>
      <c r="CQ50" s="103">
        <v>0</v>
      </c>
      <c r="CR50" s="30">
        <v>0</v>
      </c>
      <c r="CS50" s="30">
        <v>0</v>
      </c>
      <c r="CT50" s="30"/>
      <c r="CV50" s="30">
        <f t="shared" si="0"/>
        <v>74180.175</v>
      </c>
      <c r="CW50" s="30"/>
      <c r="CX50" s="30">
        <f t="shared" si="1"/>
        <v>5124.037</v>
      </c>
      <c r="CY50" s="30">
        <f t="shared" si="2"/>
        <v>69056.138</v>
      </c>
      <c r="CZ50" s="30"/>
      <c r="DA50" s="30">
        <f t="shared" si="3"/>
        <v>0</v>
      </c>
    </row>
    <row r="51" spans="1:105" ht="8.25" customHeight="1">
      <c r="A51" s="139"/>
      <c r="CV51" s="30"/>
      <c r="CW51" s="30"/>
      <c r="CX51" s="30"/>
      <c r="CY51" s="30"/>
      <c r="DA51" s="30">
        <f t="shared" si="3"/>
        <v>0</v>
      </c>
    </row>
    <row r="52" spans="1:105" ht="12.75">
      <c r="A52" s="135" t="s">
        <v>235</v>
      </c>
      <c r="B52" s="30">
        <v>0</v>
      </c>
      <c r="C52" s="103">
        <v>0</v>
      </c>
      <c r="D52" s="30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0</v>
      </c>
      <c r="J52" s="30">
        <v>0</v>
      </c>
      <c r="K52" s="103">
        <v>0</v>
      </c>
      <c r="L52" s="30">
        <v>0</v>
      </c>
      <c r="M52" s="103">
        <v>0</v>
      </c>
      <c r="N52" s="103">
        <v>0</v>
      </c>
      <c r="O52" s="103">
        <v>0</v>
      </c>
      <c r="P52" s="30">
        <v>0</v>
      </c>
      <c r="Q52" s="103">
        <v>0</v>
      </c>
      <c r="R52" s="30">
        <v>0</v>
      </c>
      <c r="S52" s="103"/>
      <c r="T52" s="30">
        <v>0</v>
      </c>
      <c r="U52" s="103">
        <v>0</v>
      </c>
      <c r="V52" s="30">
        <v>0</v>
      </c>
      <c r="W52" s="103">
        <v>0</v>
      </c>
      <c r="X52" s="103">
        <v>0</v>
      </c>
      <c r="Y52" s="30">
        <v>0</v>
      </c>
      <c r="Z52" s="103"/>
      <c r="AA52" s="30">
        <v>0</v>
      </c>
      <c r="AB52" s="103"/>
      <c r="AC52" s="30">
        <v>0</v>
      </c>
      <c r="AD52" s="30">
        <v>0</v>
      </c>
      <c r="AE52" s="103"/>
      <c r="AF52" s="30">
        <v>0</v>
      </c>
      <c r="AG52" s="30">
        <v>0</v>
      </c>
      <c r="AH52" s="30">
        <v>0</v>
      </c>
      <c r="AI52" s="30">
        <v>0</v>
      </c>
      <c r="AJ52" s="103">
        <v>0</v>
      </c>
      <c r="AK52" s="30">
        <v>0</v>
      </c>
      <c r="AL52" s="103">
        <v>0</v>
      </c>
      <c r="AM52" s="30">
        <v>0</v>
      </c>
      <c r="AN52" s="103"/>
      <c r="AO52" s="30">
        <v>0</v>
      </c>
      <c r="AP52" s="103"/>
      <c r="AQ52" s="30">
        <v>0</v>
      </c>
      <c r="AR52" s="30">
        <v>0</v>
      </c>
      <c r="AS52" s="103">
        <v>0</v>
      </c>
      <c r="AT52" s="30">
        <v>0</v>
      </c>
      <c r="AU52" s="103">
        <v>0</v>
      </c>
      <c r="AV52" s="30">
        <v>0</v>
      </c>
      <c r="AW52" s="103"/>
      <c r="AX52" s="30">
        <v>0</v>
      </c>
      <c r="AY52" s="30">
        <v>0</v>
      </c>
      <c r="AZ52" s="103"/>
      <c r="BA52" s="30">
        <v>0</v>
      </c>
      <c r="BB52" s="30">
        <v>0</v>
      </c>
      <c r="BC52" s="103">
        <v>0</v>
      </c>
      <c r="BD52" s="30">
        <v>0</v>
      </c>
      <c r="BE52" s="103"/>
      <c r="BF52" s="30">
        <v>0</v>
      </c>
      <c r="BG52" s="103"/>
      <c r="BH52" s="30">
        <v>0</v>
      </c>
      <c r="BI52" s="103"/>
      <c r="BJ52" s="30">
        <v>0</v>
      </c>
      <c r="BK52" s="30">
        <v>0</v>
      </c>
      <c r="BL52" s="103">
        <v>0</v>
      </c>
      <c r="BM52" s="103">
        <v>0</v>
      </c>
      <c r="BN52" s="30">
        <v>0</v>
      </c>
      <c r="BO52" s="30">
        <v>0</v>
      </c>
      <c r="BP52" s="30">
        <v>0</v>
      </c>
      <c r="BQ52" s="30">
        <v>0</v>
      </c>
      <c r="BR52" s="30">
        <v>0</v>
      </c>
      <c r="BS52" s="103">
        <v>0</v>
      </c>
      <c r="BT52" s="103">
        <v>0</v>
      </c>
      <c r="BU52" s="103">
        <v>0</v>
      </c>
      <c r="BV52" s="30">
        <v>0</v>
      </c>
      <c r="BW52" s="30">
        <v>0</v>
      </c>
      <c r="BX52" s="30">
        <v>0</v>
      </c>
      <c r="BY52" s="103">
        <v>0</v>
      </c>
      <c r="BZ52" s="30">
        <v>0</v>
      </c>
      <c r="CA52" s="103">
        <f>+BZ52-CB52</f>
        <v>0</v>
      </c>
      <c r="CB52" s="103">
        <v>0</v>
      </c>
      <c r="CC52" s="30">
        <v>0</v>
      </c>
      <c r="CD52" s="30">
        <v>744.877</v>
      </c>
      <c r="CE52" s="103">
        <v>744.877</v>
      </c>
      <c r="CF52" s="30">
        <v>0</v>
      </c>
      <c r="CG52" s="30">
        <v>0</v>
      </c>
      <c r="CH52" s="30">
        <v>0</v>
      </c>
      <c r="CI52" s="30">
        <v>0</v>
      </c>
      <c r="CJ52" s="30">
        <v>0</v>
      </c>
      <c r="CK52" s="30">
        <v>0</v>
      </c>
      <c r="CL52" s="30">
        <v>0</v>
      </c>
      <c r="CM52" s="30">
        <v>0</v>
      </c>
      <c r="CN52" s="30">
        <v>0</v>
      </c>
      <c r="CO52" s="30">
        <v>0</v>
      </c>
      <c r="CP52" s="30">
        <v>0</v>
      </c>
      <c r="CQ52" s="103">
        <v>0</v>
      </c>
      <c r="CR52" s="30">
        <v>0</v>
      </c>
      <c r="CS52" s="30">
        <v>0</v>
      </c>
      <c r="CT52" s="30"/>
      <c r="CV52" s="30">
        <f t="shared" si="0"/>
        <v>744.877</v>
      </c>
      <c r="CW52" s="30"/>
      <c r="CX52" s="30">
        <f t="shared" si="1"/>
        <v>0</v>
      </c>
      <c r="CY52" s="30">
        <f t="shared" si="2"/>
        <v>744.877</v>
      </c>
      <c r="CZ52" s="30"/>
      <c r="DA52" s="30">
        <f t="shared" si="3"/>
        <v>0</v>
      </c>
    </row>
    <row r="53" spans="1:105" ht="8.25" customHeight="1">
      <c r="A53" s="139"/>
      <c r="CV53" s="30"/>
      <c r="CW53" s="30"/>
      <c r="CX53" s="30"/>
      <c r="CY53" s="30"/>
      <c r="DA53" s="30">
        <f t="shared" si="3"/>
        <v>0</v>
      </c>
    </row>
    <row r="54" spans="1:105" ht="12.75">
      <c r="A54" s="135" t="s">
        <v>236</v>
      </c>
      <c r="CV54" s="30"/>
      <c r="CW54" s="30"/>
      <c r="CX54" s="30"/>
      <c r="CY54" s="30"/>
      <c r="DA54" s="30">
        <f t="shared" si="3"/>
        <v>0</v>
      </c>
    </row>
    <row r="55" spans="1:105" ht="12.75">
      <c r="A55" s="135" t="s">
        <v>237</v>
      </c>
      <c r="B55" s="30">
        <f aca="true" t="shared" si="17" ref="B55:BM55">B11-B19+B33-B42-B48+B50-B52</f>
        <v>5192169.472999999</v>
      </c>
      <c r="C55" s="103">
        <f>C11-C19+C33-C42-C48+C50-C52</f>
        <v>206276.762</v>
      </c>
      <c r="D55" s="30">
        <f>D11-D19+D33-D42-D48+D50-D52+1</f>
        <v>12275752</v>
      </c>
      <c r="E55" s="103">
        <f>E11-E19+E33-E42-E48+E50-E52+2</f>
        <v>8003951</v>
      </c>
      <c r="F55" s="103">
        <f t="shared" si="17"/>
        <v>4020552</v>
      </c>
      <c r="G55" s="103">
        <f t="shared" si="17"/>
        <v>33695</v>
      </c>
      <c r="H55" s="103">
        <f>H11-H19+H33-H42-H48+H50-H52+1</f>
        <v>6151</v>
      </c>
      <c r="I55" s="103">
        <f>I11-I19+I33-I42-I48+I50-I52+1</f>
        <v>211403</v>
      </c>
      <c r="J55" s="30">
        <f t="shared" si="17"/>
        <v>591471.0999999999</v>
      </c>
      <c r="K55" s="103">
        <f>K11-K19+K33-K42-K48+K50-K52</f>
        <v>20379.112000000005</v>
      </c>
      <c r="L55" s="30">
        <f t="shared" si="17"/>
        <v>867705.2259999999</v>
      </c>
      <c r="M55" s="103">
        <f t="shared" si="17"/>
        <v>749060.1130000002</v>
      </c>
      <c r="N55" s="103">
        <f t="shared" si="17"/>
        <v>104745.66999999998</v>
      </c>
      <c r="O55" s="103">
        <f>O11-O19+O33-O42-O48+O50-O52</f>
        <v>13899.394999999999</v>
      </c>
      <c r="P55" s="30">
        <f t="shared" si="17"/>
        <v>586395.7479999997</v>
      </c>
      <c r="Q55" s="103">
        <f>+Q11-Q19+Q33-Q42-Q48+Q50-Q52</f>
        <v>2759.535</v>
      </c>
      <c r="R55" s="30">
        <f t="shared" si="17"/>
        <v>-8379.937999999893</v>
      </c>
      <c r="S55" s="103">
        <f t="shared" si="17"/>
        <v>72684.98599999999</v>
      </c>
      <c r="T55" s="30">
        <f t="shared" si="17"/>
        <v>1280908.319</v>
      </c>
      <c r="U55" s="103">
        <f t="shared" si="17"/>
        <v>8085.901000000001</v>
      </c>
      <c r="V55" s="30">
        <f t="shared" si="17"/>
        <v>-265741.74999999994</v>
      </c>
      <c r="W55" s="103">
        <f t="shared" si="17"/>
        <v>-514290.78000000014</v>
      </c>
      <c r="X55" s="103">
        <f t="shared" si="17"/>
        <v>248549.03000000003</v>
      </c>
      <c r="Y55" s="30">
        <f>Y11-Y19+Y33-Y42-Y48+Y50-Y52</f>
        <v>1102019.934</v>
      </c>
      <c r="Z55" s="103">
        <f>Z11-Z19+Z33-Z42-Z48+Z50-Z52</f>
        <v>37318.573</v>
      </c>
      <c r="AA55" s="30">
        <f t="shared" si="17"/>
        <v>469791.32700000005</v>
      </c>
      <c r="AB55" s="103">
        <f t="shared" si="17"/>
        <v>204341.001</v>
      </c>
      <c r="AC55" s="30">
        <f t="shared" si="17"/>
        <v>-173635.844</v>
      </c>
      <c r="AD55" s="30">
        <f t="shared" si="17"/>
        <v>-420381.3870000001</v>
      </c>
      <c r="AE55" s="103">
        <f t="shared" si="17"/>
        <v>2526</v>
      </c>
      <c r="AF55" s="30">
        <f>AF11-AF19+AF33-AF42-AF48+AF50-AF52</f>
        <v>-109189</v>
      </c>
      <c r="AG55" s="30">
        <f t="shared" si="17"/>
        <v>-331063.616</v>
      </c>
      <c r="AH55" s="30">
        <f>AH11-AH19+AH33-AH42-AH48+AH50-AH52</f>
        <v>-85867.48000000007</v>
      </c>
      <c r="AI55" s="30">
        <f t="shared" si="17"/>
        <v>-93437.26099999987</v>
      </c>
      <c r="AJ55" s="103">
        <f t="shared" si="17"/>
        <v>53411.611</v>
      </c>
      <c r="AK55" s="30">
        <f t="shared" si="17"/>
        <v>193088.48399999994</v>
      </c>
      <c r="AL55" s="103">
        <f t="shared" si="17"/>
        <v>2344.1100000000006</v>
      </c>
      <c r="AM55" s="30">
        <f t="shared" si="17"/>
        <v>1067409.3269999996</v>
      </c>
      <c r="AN55" s="103">
        <f t="shared" si="17"/>
        <v>720546</v>
      </c>
      <c r="AO55" s="30">
        <f>AO11-AO19+AO33-AO42-AO48+AO50-AO52</f>
        <v>1581100.6460000004</v>
      </c>
      <c r="AP55" s="103">
        <f>AP11-AP19+AP33-AP42-AP48+AP50-AP52</f>
        <v>1077715</v>
      </c>
      <c r="AQ55" s="30">
        <f>AQ11-AQ19+AQ33-AQ42-AQ48+AQ50-AQ52</f>
        <v>911990.2279999998</v>
      </c>
      <c r="AR55" s="30">
        <f t="shared" si="17"/>
        <v>2876.2069999999985</v>
      </c>
      <c r="AS55" s="103">
        <f t="shared" si="17"/>
        <v>1299.939</v>
      </c>
      <c r="AT55" s="30">
        <f t="shared" si="17"/>
        <v>355682.9199999999</v>
      </c>
      <c r="AU55" s="103">
        <f t="shared" si="17"/>
        <v>2894.0820000000003</v>
      </c>
      <c r="AV55" s="30">
        <f>AV11-AV19+AV33-AV42-AV48+AV50-AV52</f>
        <v>778854</v>
      </c>
      <c r="AW55" s="103">
        <f>AW11-AW19+AW33-AW42-AW48+AW50-AW52</f>
        <v>741655</v>
      </c>
      <c r="AX55" s="30">
        <f t="shared" si="17"/>
        <v>-154959.13299999994</v>
      </c>
      <c r="AY55" s="30">
        <f t="shared" si="17"/>
        <v>244408.97500000003</v>
      </c>
      <c r="AZ55" s="103">
        <f t="shared" si="17"/>
        <v>-30720.45899999999</v>
      </c>
      <c r="BA55" s="30">
        <f t="shared" si="17"/>
        <v>69585.19699999999</v>
      </c>
      <c r="BB55" s="30">
        <f t="shared" si="17"/>
        <v>552378.018</v>
      </c>
      <c r="BC55" s="103">
        <f>552378.019-114686.911</f>
        <v>437691.108</v>
      </c>
      <c r="BD55" s="30">
        <f t="shared" si="17"/>
        <v>133369.03899999996</v>
      </c>
      <c r="BE55" s="103">
        <f t="shared" si="17"/>
        <v>556.316</v>
      </c>
      <c r="BF55" s="30">
        <f>BF11-BF19+BF33-BF42-BF48+BF50-BF52</f>
        <v>216726.03600000002</v>
      </c>
      <c r="BG55" s="103">
        <f>BG11-BG19+BG33-BG42-BG48+BG50-BG52</f>
        <v>32077.837</v>
      </c>
      <c r="BH55" s="30">
        <f>BH11-BH19+BH33-BH42-BH48+BH50-BH52</f>
        <v>136587.12699999995</v>
      </c>
      <c r="BI55" s="103">
        <f>BI11-BI19+BI33-BI42-BI48+BI50-BI52</f>
        <v>23711.87</v>
      </c>
      <c r="BJ55" s="30">
        <f t="shared" si="17"/>
        <v>-121459.09000000008</v>
      </c>
      <c r="BK55" s="30">
        <f t="shared" si="17"/>
        <v>-321792.087</v>
      </c>
      <c r="BL55" s="103">
        <f t="shared" si="17"/>
        <v>-316525.137</v>
      </c>
      <c r="BM55" s="103">
        <f t="shared" si="17"/>
        <v>-5266.9500000000035</v>
      </c>
      <c r="BN55" s="30">
        <f aca="true" t="shared" si="18" ref="BN55:CS55">BN11-BN19+BN33-BN42-BN48+BN50-BN52</f>
        <v>-263998.197</v>
      </c>
      <c r="BO55" s="30">
        <f>BO11-BO19+BO33-BO42-BO48+BO50-BO52</f>
        <v>-28226.67099999999</v>
      </c>
      <c r="BP55" s="30">
        <f t="shared" si="18"/>
        <v>-72460.57999999999</v>
      </c>
      <c r="BQ55" s="30">
        <f t="shared" si="18"/>
        <v>157547.49800000005</v>
      </c>
      <c r="BR55" s="30">
        <f>BR11-BR19+BR33-BR42-BR48+BR50-BR52</f>
        <v>867733.346</v>
      </c>
      <c r="BS55" s="103">
        <f>BS11-BS19+BS33-BS42-BS48+BS50-BS52</f>
        <v>790626.1830000002</v>
      </c>
      <c r="BT55" s="103">
        <f>BT11-BT19+BT33-BT42-BT48+BT50-BT52</f>
        <v>65066.958999999995</v>
      </c>
      <c r="BU55" s="103">
        <f>BU11-BU19+BU33-BU42-BU48+BU50-BU52</f>
        <v>12040.204999999998</v>
      </c>
      <c r="BV55" s="30">
        <f>BV11-BV19+BV33-BV42-BV48+BV50-BV52</f>
        <v>-129854.028</v>
      </c>
      <c r="BW55" s="30">
        <f t="shared" si="18"/>
        <v>41206.13899999998</v>
      </c>
      <c r="BX55" s="30">
        <f>BX11-BX19+BX33-BX42-BX48+BX50-BX52</f>
        <v>229445.404</v>
      </c>
      <c r="BY55" s="103">
        <f>BY11-BY19+BY33-BY42-BY48+BY50-BY52</f>
        <v>154245.57499999998</v>
      </c>
      <c r="BZ55" s="30">
        <f>BZ11-BZ19+BZ33-BZ42-BZ48+BZ50-BZ52</f>
        <v>58368.528000000006</v>
      </c>
      <c r="CA55" s="103">
        <f>CA11-CA19+CA33-CA42-CA48+CA50-CA52</f>
        <v>37336.524000000005</v>
      </c>
      <c r="CB55" s="103">
        <f>CB11-CB19+CB33-CB42-CB48+CB50-CB52</f>
        <v>21032.003999999983</v>
      </c>
      <c r="CC55" s="30">
        <f t="shared" si="18"/>
        <v>-20570.089000000007</v>
      </c>
      <c r="CD55" s="30">
        <f t="shared" si="18"/>
        <v>-47395.17600000001</v>
      </c>
      <c r="CE55" s="103">
        <f>CE11-CE19+CE33-CE42-CE48+CE50-CE52</f>
        <v>-69732.85199999998</v>
      </c>
      <c r="CF55" s="30">
        <f t="shared" si="18"/>
        <v>29595.421999999995</v>
      </c>
      <c r="CG55" s="30">
        <f t="shared" si="18"/>
        <v>22976.06700000001</v>
      </c>
      <c r="CH55" s="30">
        <f t="shared" si="18"/>
        <v>-53460.653000000006</v>
      </c>
      <c r="CI55" s="30">
        <f t="shared" si="18"/>
        <v>-14928.986000000006</v>
      </c>
      <c r="CJ55" s="30">
        <f>CJ11-CJ19+CJ33-CJ42-CJ48+CJ50-CJ52</f>
        <v>727.0890000000043</v>
      </c>
      <c r="CK55" s="30">
        <f t="shared" si="18"/>
        <v>-32512.086000000003</v>
      </c>
      <c r="CL55" s="30">
        <f t="shared" si="18"/>
        <v>-3880.1599999999908</v>
      </c>
      <c r="CM55" s="30">
        <f t="shared" si="18"/>
        <v>4462.706</v>
      </c>
      <c r="CN55" s="30">
        <f t="shared" si="18"/>
        <v>-4948.878000000002</v>
      </c>
      <c r="CO55" s="30">
        <f t="shared" si="18"/>
        <v>-30301.921000000006</v>
      </c>
      <c r="CP55" s="30">
        <f>CP11-CP19+CP33-CP42-CP48+CP50-CP52</f>
        <v>-23894.051</v>
      </c>
      <c r="CQ55" s="103">
        <f>CQ11-CQ19+CQ33-CQ42-CQ48+CQ50-CQ52</f>
        <v>-23929.683</v>
      </c>
      <c r="CR55" s="30">
        <f t="shared" si="18"/>
        <v>-13143.623</v>
      </c>
      <c r="CS55" s="30">
        <f t="shared" si="18"/>
        <v>-1659.815</v>
      </c>
      <c r="CT55" s="30"/>
      <c r="CV55" s="30">
        <f t="shared" si="0"/>
        <v>27195190.029999994</v>
      </c>
      <c r="CW55" s="30"/>
      <c r="CX55" s="30">
        <f t="shared" si="1"/>
        <v>13778959.816000002</v>
      </c>
      <c r="CY55" s="30">
        <f t="shared" si="2"/>
        <v>13416230.213999994</v>
      </c>
      <c r="CZ55" s="30"/>
      <c r="DA55" s="30">
        <f t="shared" si="3"/>
        <v>0</v>
      </c>
    </row>
    <row r="56" spans="1:105" ht="8.25" customHeight="1">
      <c r="A56" s="139"/>
      <c r="CV56" s="30"/>
      <c r="CW56" s="30"/>
      <c r="CX56" s="30"/>
      <c r="CY56" s="30"/>
      <c r="DA56" s="30">
        <f t="shared" si="3"/>
        <v>0</v>
      </c>
    </row>
    <row r="57" spans="1:105" ht="12.75">
      <c r="A57" s="135" t="s">
        <v>238</v>
      </c>
      <c r="B57" s="30">
        <f>B58+B59</f>
        <v>0</v>
      </c>
      <c r="C57" s="103">
        <f>C58+C59</f>
        <v>0</v>
      </c>
      <c r="D57" s="30">
        <f>D58+D59</f>
        <v>0</v>
      </c>
      <c r="E57" s="103">
        <f aca="true" t="shared" si="19" ref="E57:N57">E58+E59</f>
        <v>0</v>
      </c>
      <c r="F57" s="103">
        <f t="shared" si="19"/>
        <v>0</v>
      </c>
      <c r="G57" s="103">
        <f t="shared" si="19"/>
        <v>0</v>
      </c>
      <c r="H57" s="103">
        <f t="shared" si="19"/>
        <v>0</v>
      </c>
      <c r="I57" s="103">
        <f>I58+I59</f>
        <v>0</v>
      </c>
      <c r="J57" s="30">
        <f t="shared" si="19"/>
        <v>0</v>
      </c>
      <c r="K57" s="103">
        <f>K58+K59</f>
        <v>0</v>
      </c>
      <c r="L57" s="30">
        <f t="shared" si="19"/>
        <v>0</v>
      </c>
      <c r="M57" s="103">
        <f t="shared" si="19"/>
        <v>0</v>
      </c>
      <c r="N57" s="103">
        <f t="shared" si="19"/>
        <v>0</v>
      </c>
      <c r="O57" s="103">
        <f>O58+O59</f>
        <v>0</v>
      </c>
      <c r="P57" s="30">
        <f>P58+P59</f>
        <v>0</v>
      </c>
      <c r="Q57" s="103">
        <f>Q58+Q59</f>
        <v>0</v>
      </c>
      <c r="R57" s="30">
        <f>R58+R59</f>
        <v>0</v>
      </c>
      <c r="S57" s="103"/>
      <c r="T57" s="30">
        <f>T58+T59</f>
        <v>0</v>
      </c>
      <c r="U57" s="103"/>
      <c r="V57" s="30">
        <f aca="true" t="shared" si="20" ref="V57:AD57">V58+V59</f>
        <v>0</v>
      </c>
      <c r="W57" s="103">
        <f t="shared" si="20"/>
        <v>0</v>
      </c>
      <c r="X57" s="103">
        <f t="shared" si="20"/>
        <v>0</v>
      </c>
      <c r="Y57" s="30">
        <f t="shared" si="20"/>
        <v>0</v>
      </c>
      <c r="Z57" s="103"/>
      <c r="AA57" s="30">
        <f t="shared" si="20"/>
        <v>0</v>
      </c>
      <c r="AB57" s="103"/>
      <c r="AC57" s="30">
        <f t="shared" si="20"/>
        <v>0</v>
      </c>
      <c r="AD57" s="30">
        <f t="shared" si="20"/>
        <v>0</v>
      </c>
      <c r="AE57" s="103"/>
      <c r="AF57" s="30">
        <f aca="true" t="shared" si="21" ref="AF57:AO57">AF58+AF59</f>
        <v>0</v>
      </c>
      <c r="AG57" s="30">
        <f t="shared" si="21"/>
        <v>0</v>
      </c>
      <c r="AH57" s="30">
        <f t="shared" si="21"/>
        <v>0</v>
      </c>
      <c r="AI57" s="30">
        <f t="shared" si="21"/>
        <v>0</v>
      </c>
      <c r="AJ57" s="103">
        <f t="shared" si="21"/>
        <v>0</v>
      </c>
      <c r="AK57" s="30">
        <f t="shared" si="21"/>
        <v>0</v>
      </c>
      <c r="AL57" s="103">
        <f t="shared" si="21"/>
        <v>0</v>
      </c>
      <c r="AM57" s="30">
        <f t="shared" si="21"/>
        <v>0</v>
      </c>
      <c r="AN57" s="103"/>
      <c r="AO57" s="30">
        <f t="shared" si="21"/>
        <v>0</v>
      </c>
      <c r="AP57" s="103"/>
      <c r="AQ57" s="30">
        <f aca="true" t="shared" si="22" ref="AQ57:BM57">AQ58+AQ59</f>
        <v>0</v>
      </c>
      <c r="AR57" s="30">
        <f t="shared" si="22"/>
        <v>0</v>
      </c>
      <c r="AS57" s="103">
        <f t="shared" si="22"/>
        <v>0</v>
      </c>
      <c r="AT57" s="30">
        <f t="shared" si="22"/>
        <v>0</v>
      </c>
      <c r="AU57" s="103">
        <f t="shared" si="22"/>
        <v>0</v>
      </c>
      <c r="AV57" s="30">
        <f t="shared" si="22"/>
        <v>0</v>
      </c>
      <c r="AW57" s="103"/>
      <c r="AX57" s="30">
        <f t="shared" si="22"/>
        <v>0</v>
      </c>
      <c r="AY57" s="30">
        <f t="shared" si="22"/>
        <v>0</v>
      </c>
      <c r="AZ57" s="103"/>
      <c r="BA57" s="30">
        <f t="shared" si="22"/>
        <v>0</v>
      </c>
      <c r="BB57" s="30">
        <f t="shared" si="22"/>
        <v>0</v>
      </c>
      <c r="BC57" s="103">
        <f t="shared" si="22"/>
        <v>0</v>
      </c>
      <c r="BD57" s="30">
        <f t="shared" si="22"/>
        <v>0</v>
      </c>
      <c r="BE57" s="103"/>
      <c r="BF57" s="30">
        <f t="shared" si="22"/>
        <v>0</v>
      </c>
      <c r="BG57" s="103"/>
      <c r="BH57" s="30">
        <f t="shared" si="22"/>
        <v>0</v>
      </c>
      <c r="BI57" s="103"/>
      <c r="BJ57" s="30">
        <f t="shared" si="22"/>
        <v>0</v>
      </c>
      <c r="BK57" s="30">
        <f t="shared" si="22"/>
        <v>0</v>
      </c>
      <c r="BL57" s="103">
        <f t="shared" si="22"/>
        <v>0</v>
      </c>
      <c r="BM57" s="103">
        <f t="shared" si="22"/>
        <v>0</v>
      </c>
      <c r="BN57" s="30">
        <f aca="true" t="shared" si="23" ref="BN57:CS57">BN58+BN59</f>
        <v>0</v>
      </c>
      <c r="BO57" s="30">
        <f>BO58+BO59</f>
        <v>0</v>
      </c>
      <c r="BP57" s="30">
        <f t="shared" si="23"/>
        <v>0</v>
      </c>
      <c r="BQ57" s="30">
        <f t="shared" si="23"/>
        <v>0</v>
      </c>
      <c r="BR57" s="30">
        <f>BR58+BR59</f>
        <v>0</v>
      </c>
      <c r="BS57" s="103">
        <f>BS58+BS59</f>
        <v>0</v>
      </c>
      <c r="BT57" s="103">
        <f>BT58+BT59</f>
        <v>0</v>
      </c>
      <c r="BU57" s="103">
        <f>BU58+BU59</f>
        <v>0</v>
      </c>
      <c r="BV57" s="30">
        <f>BV58+BV59</f>
        <v>0</v>
      </c>
      <c r="BW57" s="30">
        <f t="shared" si="23"/>
        <v>0</v>
      </c>
      <c r="BX57" s="30">
        <f>BX58+BX59</f>
        <v>0</v>
      </c>
      <c r="BY57" s="103">
        <f>BY58+BY59</f>
        <v>0</v>
      </c>
      <c r="BZ57" s="30">
        <f>BZ58+BZ59</f>
        <v>0</v>
      </c>
      <c r="CA57" s="103">
        <f>+BZ57-CB57</f>
        <v>0</v>
      </c>
      <c r="CB57" s="103">
        <v>0</v>
      </c>
      <c r="CC57" s="30">
        <f t="shared" si="23"/>
        <v>0</v>
      </c>
      <c r="CD57" s="30">
        <f t="shared" si="23"/>
        <v>0</v>
      </c>
      <c r="CE57" s="103"/>
      <c r="CF57" s="30">
        <f t="shared" si="23"/>
        <v>0</v>
      </c>
      <c r="CG57" s="30">
        <f t="shared" si="23"/>
        <v>0</v>
      </c>
      <c r="CH57" s="30">
        <f t="shared" si="23"/>
        <v>0</v>
      </c>
      <c r="CI57" s="30">
        <f t="shared" si="23"/>
        <v>0</v>
      </c>
      <c r="CJ57" s="30">
        <f>CJ58+CJ59</f>
        <v>0</v>
      </c>
      <c r="CK57" s="30">
        <f t="shared" si="23"/>
        <v>0</v>
      </c>
      <c r="CL57" s="30">
        <f t="shared" si="23"/>
        <v>0</v>
      </c>
      <c r="CM57" s="30">
        <f t="shared" si="23"/>
        <v>0</v>
      </c>
      <c r="CN57" s="30">
        <f t="shared" si="23"/>
        <v>0</v>
      </c>
      <c r="CO57" s="30">
        <f t="shared" si="23"/>
        <v>0</v>
      </c>
      <c r="CP57" s="30">
        <f>CP58+CP59</f>
        <v>0</v>
      </c>
      <c r="CQ57" s="103">
        <f>CQ58+CQ59</f>
        <v>0</v>
      </c>
      <c r="CR57" s="30">
        <f t="shared" si="23"/>
        <v>-2903.462</v>
      </c>
      <c r="CS57" s="30">
        <f t="shared" si="23"/>
        <v>0</v>
      </c>
      <c r="CT57" s="30"/>
      <c r="CV57" s="30">
        <f t="shared" si="0"/>
        <v>-2903.462</v>
      </c>
      <c r="CW57" s="30"/>
      <c r="CX57" s="30">
        <f t="shared" si="1"/>
        <v>-2903.462</v>
      </c>
      <c r="CY57" s="30">
        <f t="shared" si="2"/>
        <v>0</v>
      </c>
      <c r="CZ57" s="30"/>
      <c r="DA57" s="30">
        <f t="shared" si="3"/>
        <v>0</v>
      </c>
    </row>
    <row r="58" spans="1:105" ht="12.75">
      <c r="A58" s="137" t="s">
        <v>206</v>
      </c>
      <c r="B58" s="30">
        <v>0</v>
      </c>
      <c r="C58" s="103">
        <v>0</v>
      </c>
      <c r="D58" s="30">
        <v>0</v>
      </c>
      <c r="E58" s="103">
        <v>0</v>
      </c>
      <c r="F58" s="103">
        <v>0</v>
      </c>
      <c r="G58" s="103">
        <v>0</v>
      </c>
      <c r="H58" s="103">
        <v>0</v>
      </c>
      <c r="I58" s="103">
        <v>0</v>
      </c>
      <c r="J58" s="30">
        <v>0</v>
      </c>
      <c r="K58" s="103">
        <v>0</v>
      </c>
      <c r="L58" s="30">
        <v>0</v>
      </c>
      <c r="M58" s="103">
        <v>0</v>
      </c>
      <c r="N58" s="103">
        <v>0</v>
      </c>
      <c r="O58" s="103">
        <v>0</v>
      </c>
      <c r="P58" s="30">
        <v>0</v>
      </c>
      <c r="Q58" s="103">
        <v>0</v>
      </c>
      <c r="R58" s="30">
        <v>0</v>
      </c>
      <c r="S58" s="103"/>
      <c r="T58" s="30">
        <v>0</v>
      </c>
      <c r="U58" s="103">
        <v>0</v>
      </c>
      <c r="V58" s="30">
        <v>0</v>
      </c>
      <c r="W58" s="103">
        <v>0</v>
      </c>
      <c r="X58" s="103">
        <v>0</v>
      </c>
      <c r="Y58" s="30">
        <v>0</v>
      </c>
      <c r="Z58" s="103"/>
      <c r="AA58" s="30">
        <v>0</v>
      </c>
      <c r="AB58" s="103"/>
      <c r="AC58" s="30">
        <v>0</v>
      </c>
      <c r="AD58" s="30">
        <v>0</v>
      </c>
      <c r="AE58" s="103"/>
      <c r="AF58" s="30">
        <v>0</v>
      </c>
      <c r="AG58" s="30">
        <v>0</v>
      </c>
      <c r="AH58" s="30">
        <v>0</v>
      </c>
      <c r="AI58" s="30">
        <v>0</v>
      </c>
      <c r="AJ58" s="103">
        <v>0</v>
      </c>
      <c r="AK58" s="30">
        <v>0</v>
      </c>
      <c r="AL58" s="103">
        <v>0</v>
      </c>
      <c r="AM58" s="30">
        <v>0</v>
      </c>
      <c r="AN58" s="103"/>
      <c r="AO58" s="30">
        <v>0</v>
      </c>
      <c r="AP58" s="103"/>
      <c r="AQ58" s="30">
        <v>0</v>
      </c>
      <c r="AR58" s="30">
        <v>0</v>
      </c>
      <c r="AS58" s="103">
        <v>0</v>
      </c>
      <c r="AT58" s="30">
        <v>0</v>
      </c>
      <c r="AU58" s="103">
        <v>0</v>
      </c>
      <c r="AV58" s="30">
        <v>0</v>
      </c>
      <c r="AW58" s="103"/>
      <c r="AX58" s="30">
        <v>0</v>
      </c>
      <c r="AY58" s="30">
        <v>0</v>
      </c>
      <c r="AZ58" s="103"/>
      <c r="BA58" s="30">
        <v>0</v>
      </c>
      <c r="BB58" s="30">
        <v>0</v>
      </c>
      <c r="BC58" s="103">
        <v>0</v>
      </c>
      <c r="BD58" s="30">
        <v>0</v>
      </c>
      <c r="BE58" s="103"/>
      <c r="BF58" s="30">
        <v>0</v>
      </c>
      <c r="BG58" s="103"/>
      <c r="BH58" s="30">
        <v>0</v>
      </c>
      <c r="BI58" s="103"/>
      <c r="BJ58" s="30">
        <v>0</v>
      </c>
      <c r="BK58" s="30">
        <v>0</v>
      </c>
      <c r="BL58" s="103">
        <v>0</v>
      </c>
      <c r="BM58" s="103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103">
        <v>0</v>
      </c>
      <c r="BT58" s="103">
        <v>0</v>
      </c>
      <c r="BU58" s="103">
        <v>0</v>
      </c>
      <c r="BV58" s="30">
        <v>0</v>
      </c>
      <c r="BW58" s="30">
        <v>0</v>
      </c>
      <c r="BX58" s="30">
        <v>0</v>
      </c>
      <c r="BY58" s="103">
        <v>0</v>
      </c>
      <c r="BZ58" s="30">
        <v>0</v>
      </c>
      <c r="CA58" s="103">
        <f>+BZ58-CB58</f>
        <v>0</v>
      </c>
      <c r="CB58" s="103">
        <v>0</v>
      </c>
      <c r="CC58" s="30">
        <v>0</v>
      </c>
      <c r="CD58" s="30">
        <v>0</v>
      </c>
      <c r="CE58" s="103"/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103">
        <v>0</v>
      </c>
      <c r="CR58" s="30">
        <v>0</v>
      </c>
      <c r="CS58" s="30">
        <v>0</v>
      </c>
      <c r="CT58" s="30"/>
      <c r="CV58" s="30">
        <f t="shared" si="0"/>
        <v>0</v>
      </c>
      <c r="CW58" s="30"/>
      <c r="CX58" s="30">
        <f t="shared" si="1"/>
        <v>0</v>
      </c>
      <c r="CY58" s="30">
        <f t="shared" si="2"/>
        <v>0</v>
      </c>
      <c r="CZ58" s="30"/>
      <c r="DA58" s="30">
        <f t="shared" si="3"/>
        <v>0</v>
      </c>
    </row>
    <row r="59" spans="1:105" ht="12.75">
      <c r="A59" s="137" t="s">
        <v>207</v>
      </c>
      <c r="B59" s="30">
        <v>0</v>
      </c>
      <c r="C59" s="103">
        <v>0</v>
      </c>
      <c r="D59" s="30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30">
        <v>0</v>
      </c>
      <c r="K59" s="103">
        <v>0</v>
      </c>
      <c r="L59" s="30">
        <v>0</v>
      </c>
      <c r="M59" s="103">
        <v>0</v>
      </c>
      <c r="N59" s="103">
        <v>0</v>
      </c>
      <c r="O59" s="103">
        <v>0</v>
      </c>
      <c r="P59" s="30">
        <v>0</v>
      </c>
      <c r="Q59" s="103">
        <v>0</v>
      </c>
      <c r="R59" s="30">
        <v>0</v>
      </c>
      <c r="S59" s="103"/>
      <c r="T59" s="30">
        <v>0</v>
      </c>
      <c r="U59" s="103">
        <v>0</v>
      </c>
      <c r="V59" s="30">
        <v>0</v>
      </c>
      <c r="W59" s="103">
        <v>0</v>
      </c>
      <c r="X59" s="103">
        <v>0</v>
      </c>
      <c r="Y59" s="30">
        <v>0</v>
      </c>
      <c r="Z59" s="103"/>
      <c r="AA59" s="30">
        <v>0</v>
      </c>
      <c r="AB59" s="103"/>
      <c r="AC59" s="30">
        <v>0</v>
      </c>
      <c r="AD59" s="30">
        <v>0</v>
      </c>
      <c r="AE59" s="103"/>
      <c r="AF59" s="30">
        <v>0</v>
      </c>
      <c r="AG59" s="30">
        <v>0</v>
      </c>
      <c r="AH59" s="30">
        <v>0</v>
      </c>
      <c r="AI59" s="30">
        <v>0</v>
      </c>
      <c r="AJ59" s="103">
        <v>0</v>
      </c>
      <c r="AK59" s="30">
        <v>0</v>
      </c>
      <c r="AL59" s="103">
        <v>0</v>
      </c>
      <c r="AM59" s="30">
        <v>0</v>
      </c>
      <c r="AN59" s="103"/>
      <c r="AO59" s="30">
        <v>0</v>
      </c>
      <c r="AP59" s="103"/>
      <c r="AQ59" s="30">
        <v>0</v>
      </c>
      <c r="AR59" s="30">
        <v>0</v>
      </c>
      <c r="AS59" s="103">
        <v>0</v>
      </c>
      <c r="AT59" s="30">
        <v>0</v>
      </c>
      <c r="AU59" s="103">
        <v>0</v>
      </c>
      <c r="AV59" s="30">
        <v>0</v>
      </c>
      <c r="AW59" s="103"/>
      <c r="AX59" s="30">
        <v>0</v>
      </c>
      <c r="AY59" s="30">
        <v>0</v>
      </c>
      <c r="AZ59" s="103"/>
      <c r="BA59" s="30">
        <v>0</v>
      </c>
      <c r="BB59" s="30">
        <v>0</v>
      </c>
      <c r="BC59" s="103">
        <v>0</v>
      </c>
      <c r="BD59" s="30">
        <v>0</v>
      </c>
      <c r="BE59" s="103"/>
      <c r="BF59" s="30">
        <v>0</v>
      </c>
      <c r="BG59" s="103"/>
      <c r="BH59" s="30">
        <v>0</v>
      </c>
      <c r="BI59" s="103"/>
      <c r="BJ59" s="30">
        <v>0</v>
      </c>
      <c r="BK59" s="30">
        <v>0</v>
      </c>
      <c r="BL59" s="103">
        <v>0</v>
      </c>
      <c r="BM59" s="103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103">
        <v>0</v>
      </c>
      <c r="BT59" s="103">
        <v>0</v>
      </c>
      <c r="BU59" s="103">
        <v>0</v>
      </c>
      <c r="BV59" s="30">
        <v>0</v>
      </c>
      <c r="BW59" s="30">
        <v>0</v>
      </c>
      <c r="BX59" s="30">
        <v>0</v>
      </c>
      <c r="BY59" s="103">
        <v>0</v>
      </c>
      <c r="BZ59" s="30">
        <v>0</v>
      </c>
      <c r="CA59" s="103">
        <f>+BZ59-CB59</f>
        <v>0</v>
      </c>
      <c r="CB59" s="103">
        <v>0</v>
      </c>
      <c r="CC59" s="30">
        <v>0</v>
      </c>
      <c r="CD59" s="30">
        <v>0</v>
      </c>
      <c r="CE59" s="103"/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103">
        <v>0</v>
      </c>
      <c r="CR59" s="30">
        <v>-2903.462</v>
      </c>
      <c r="CS59" s="30">
        <v>0</v>
      </c>
      <c r="CT59" s="30"/>
      <c r="CV59" s="30">
        <f t="shared" si="0"/>
        <v>-2903.462</v>
      </c>
      <c r="CX59" s="30">
        <f t="shared" si="1"/>
        <v>-2903.462</v>
      </c>
      <c r="CY59" s="30">
        <f t="shared" si="2"/>
        <v>0</v>
      </c>
      <c r="CZ59" s="30"/>
      <c r="DA59" s="30">
        <f t="shared" si="3"/>
        <v>0</v>
      </c>
    </row>
    <row r="60" spans="1:105" ht="8.25" customHeight="1">
      <c r="A60" s="135"/>
      <c r="CV60" s="30"/>
      <c r="CW60" s="142"/>
      <c r="CX60" s="30"/>
      <c r="CY60" s="30"/>
      <c r="DA60" s="30">
        <f t="shared" si="3"/>
        <v>0</v>
      </c>
    </row>
    <row r="61" spans="1:105" ht="12.75">
      <c r="A61" s="135" t="s">
        <v>239</v>
      </c>
      <c r="B61" s="30">
        <f>11807.228+3304536.889</f>
        <v>3316344.117</v>
      </c>
      <c r="C61" s="103">
        <v>0</v>
      </c>
      <c r="D61" s="30">
        <v>2706298</v>
      </c>
      <c r="E61" s="103">
        <v>2294815</v>
      </c>
      <c r="F61" s="103">
        <v>391433</v>
      </c>
      <c r="G61" s="103">
        <v>2268</v>
      </c>
      <c r="H61" s="103">
        <v>388</v>
      </c>
      <c r="I61" s="103">
        <v>17394</v>
      </c>
      <c r="J61" s="30">
        <v>1914325.165</v>
      </c>
      <c r="K61" s="103">
        <v>1174.709</v>
      </c>
      <c r="L61" s="30">
        <v>1669254.508</v>
      </c>
      <c r="M61" s="103">
        <v>1665434.42</v>
      </c>
      <c r="N61" s="103">
        <v>2088.041</v>
      </c>
      <c r="O61" s="103">
        <v>1732.047</v>
      </c>
      <c r="P61" s="30">
        <v>1636436.943</v>
      </c>
      <c r="Q61" s="103">
        <v>78.876</v>
      </c>
      <c r="R61" s="30">
        <v>779561.44</v>
      </c>
      <c r="S61" s="103"/>
      <c r="T61" s="30">
        <f>691898.47</f>
        <v>691898.47</v>
      </c>
      <c r="U61" s="103">
        <v>16.606</v>
      </c>
      <c r="V61" s="30">
        <v>711453.739</v>
      </c>
      <c r="W61" s="103">
        <v>616209.372</v>
      </c>
      <c r="X61" s="103">
        <v>95244.367</v>
      </c>
      <c r="Y61" s="30">
        <v>631244.883</v>
      </c>
      <c r="Z61" s="103"/>
      <c r="AA61" s="30">
        <v>565531.089</v>
      </c>
      <c r="AB61" s="103"/>
      <c r="AC61" s="30">
        <v>559233.6</v>
      </c>
      <c r="AD61" s="30">
        <v>500024.04</v>
      </c>
      <c r="AE61" s="103">
        <v>145</v>
      </c>
      <c r="AF61" s="30">
        <v>473115</v>
      </c>
      <c r="AG61" s="30">
        <v>469173.725</v>
      </c>
      <c r="AH61" s="30">
        <v>443262.07</v>
      </c>
      <c r="AI61" s="30">
        <v>428702.718</v>
      </c>
      <c r="AJ61" s="103">
        <v>0</v>
      </c>
      <c r="AK61" s="30">
        <v>398152.381</v>
      </c>
      <c r="AL61" s="103">
        <v>103.894</v>
      </c>
      <c r="AM61" s="30">
        <v>331005.704</v>
      </c>
      <c r="AN61" s="103">
        <v>318494</v>
      </c>
      <c r="AO61" s="30">
        <v>304808.919</v>
      </c>
      <c r="AP61" s="103">
        <v>286501</v>
      </c>
      <c r="AQ61" s="30">
        <v>273000.12</v>
      </c>
      <c r="AR61" s="30">
        <v>286240.373</v>
      </c>
      <c r="AS61" s="103">
        <v>31.341</v>
      </c>
      <c r="AT61" s="30">
        <v>263353.772</v>
      </c>
      <c r="AU61" s="103">
        <v>52.177</v>
      </c>
      <c r="AV61" s="30">
        <v>238200</v>
      </c>
      <c r="AW61" s="103"/>
      <c r="AX61" s="30">
        <v>246824.716</v>
      </c>
      <c r="AY61" s="30">
        <v>217182.848</v>
      </c>
      <c r="AZ61" s="103">
        <v>187548.446</v>
      </c>
      <c r="BA61" s="30">
        <v>207336.427</v>
      </c>
      <c r="BB61" s="30">
        <v>148684.061</v>
      </c>
      <c r="BC61" s="103">
        <f>148684.061-2777.776</f>
        <v>145906.28499999997</v>
      </c>
      <c r="BD61" s="30">
        <v>128569.631</v>
      </c>
      <c r="BE61" s="103"/>
      <c r="BF61" s="30">
        <v>124275.62</v>
      </c>
      <c r="BG61" s="103"/>
      <c r="BH61" s="30">
        <v>120385.688</v>
      </c>
      <c r="BI61" s="103"/>
      <c r="BJ61" s="30">
        <v>123271.623</v>
      </c>
      <c r="BK61" s="30">
        <v>108354.376</v>
      </c>
      <c r="BL61" s="103">
        <v>98946.426</v>
      </c>
      <c r="BM61" s="103">
        <v>9407.95</v>
      </c>
      <c r="BN61" s="30">
        <v>101034.447</v>
      </c>
      <c r="BO61" s="30">
        <v>79915.27</v>
      </c>
      <c r="BP61" s="30">
        <v>80865.589</v>
      </c>
      <c r="BQ61" s="30">
        <v>71720.472</v>
      </c>
      <c r="BR61" s="30">
        <v>39687.43</v>
      </c>
      <c r="BS61" s="103">
        <v>34488.808</v>
      </c>
      <c r="BT61" s="103">
        <v>4688.579</v>
      </c>
      <c r="BU61" s="103">
        <v>510.043</v>
      </c>
      <c r="BV61" s="30">
        <v>60621.263</v>
      </c>
      <c r="BW61" s="30">
        <v>53137.275</v>
      </c>
      <c r="BX61" s="30">
        <v>47688.322</v>
      </c>
      <c r="BY61" s="103">
        <f>47688.322-4239.492</f>
        <v>43448.83</v>
      </c>
      <c r="BZ61" s="30">
        <v>49050.6</v>
      </c>
      <c r="CA61" s="103">
        <f>+BZ61-CB61</f>
        <v>3328.851999999999</v>
      </c>
      <c r="CB61" s="103">
        <v>45721.748</v>
      </c>
      <c r="CC61" s="30">
        <v>47716.494</v>
      </c>
      <c r="CD61" s="30">
        <v>43638.758</v>
      </c>
      <c r="CE61" s="103">
        <v>43638.758</v>
      </c>
      <c r="CF61" s="30">
        <v>41707.695</v>
      </c>
      <c r="CG61" s="30">
        <v>30141.304</v>
      </c>
      <c r="CH61" s="30">
        <v>26754.162</v>
      </c>
      <c r="CI61" s="30">
        <v>23464.209</v>
      </c>
      <c r="CJ61" s="30">
        <v>18724.138</v>
      </c>
      <c r="CK61" s="30">
        <v>18653.97</v>
      </c>
      <c r="CL61" s="30">
        <v>16813.772</v>
      </c>
      <c r="CM61" s="30">
        <v>11411.046</v>
      </c>
      <c r="CN61" s="30">
        <v>6732.729</v>
      </c>
      <c r="CO61" s="30">
        <v>5070.444</v>
      </c>
      <c r="CP61" s="30">
        <v>1532.322</v>
      </c>
      <c r="CQ61" s="103">
        <v>0</v>
      </c>
      <c r="CR61" s="30">
        <v>3416.174</v>
      </c>
      <c r="CS61" s="133">
        <v>356.482</v>
      </c>
      <c r="CT61" s="133"/>
      <c r="CV61" s="30">
        <f t="shared" si="0"/>
        <v>21895360.132999998</v>
      </c>
      <c r="CW61" s="142"/>
      <c r="CX61" s="30">
        <f t="shared" si="1"/>
        <v>3462683.0250000004</v>
      </c>
      <c r="CY61" s="30">
        <f t="shared" si="2"/>
        <v>18432677.108</v>
      </c>
      <c r="CZ61" s="30"/>
      <c r="DA61" s="30">
        <f t="shared" si="3"/>
        <v>0</v>
      </c>
    </row>
    <row r="62" spans="1:105" ht="8.25" customHeight="1">
      <c r="A62" s="135"/>
      <c r="CV62" s="30"/>
      <c r="CW62" s="143"/>
      <c r="CX62" s="30"/>
      <c r="CY62" s="30"/>
      <c r="DA62" s="30">
        <f t="shared" si="3"/>
        <v>0</v>
      </c>
    </row>
    <row r="63" spans="1:105" ht="12.75">
      <c r="A63" s="135" t="s">
        <v>240</v>
      </c>
      <c r="B63" s="30">
        <f aca="true" t="shared" si="24" ref="B63:AX63">B55+B57+B61</f>
        <v>8508513.59</v>
      </c>
      <c r="C63" s="103">
        <f>C55+C57+C61</f>
        <v>206276.762</v>
      </c>
      <c r="D63" s="30">
        <f t="shared" si="24"/>
        <v>14982050</v>
      </c>
      <c r="E63" s="103">
        <f t="shared" si="24"/>
        <v>10298766</v>
      </c>
      <c r="F63" s="103">
        <f t="shared" si="24"/>
        <v>4411985</v>
      </c>
      <c r="G63" s="103">
        <f t="shared" si="24"/>
        <v>35963</v>
      </c>
      <c r="H63" s="103">
        <f t="shared" si="24"/>
        <v>6539</v>
      </c>
      <c r="I63" s="103">
        <f>I55+I57+I61</f>
        <v>228797</v>
      </c>
      <c r="J63" s="30">
        <f t="shared" si="24"/>
        <v>2505796.2649999997</v>
      </c>
      <c r="K63" s="103">
        <f>K55+K57+K61</f>
        <v>21553.821000000004</v>
      </c>
      <c r="L63" s="30">
        <f t="shared" si="24"/>
        <v>2536959.7339999997</v>
      </c>
      <c r="M63" s="103">
        <f t="shared" si="24"/>
        <v>2414494.5330000003</v>
      </c>
      <c r="N63" s="103">
        <f t="shared" si="24"/>
        <v>106833.71099999998</v>
      </c>
      <c r="O63" s="103">
        <f>O55+O57+O61</f>
        <v>15631.442</v>
      </c>
      <c r="P63" s="30">
        <f t="shared" si="24"/>
        <v>2222832.6909999996</v>
      </c>
      <c r="Q63" s="103">
        <f>Q55+Q57+Q61</f>
        <v>2838.411</v>
      </c>
      <c r="R63" s="30">
        <f t="shared" si="24"/>
        <v>771181.5020000001</v>
      </c>
      <c r="S63" s="103">
        <f>S55+S57+S61</f>
        <v>72684.98599999999</v>
      </c>
      <c r="T63" s="30">
        <f t="shared" si="24"/>
        <v>1972806.7889999999</v>
      </c>
      <c r="U63" s="103">
        <f>U55+U57+U61</f>
        <v>8102.5070000000005</v>
      </c>
      <c r="V63" s="30">
        <f t="shared" si="24"/>
        <v>445711.989</v>
      </c>
      <c r="W63" s="103">
        <f t="shared" si="24"/>
        <v>101918.59199999983</v>
      </c>
      <c r="X63" s="103">
        <f t="shared" si="24"/>
        <v>343793.397</v>
      </c>
      <c r="Y63" s="30">
        <f t="shared" si="24"/>
        <v>1733264.8169999998</v>
      </c>
      <c r="Z63" s="103">
        <f>Z55+Z57+Z61</f>
        <v>37318.573</v>
      </c>
      <c r="AA63" s="30">
        <f t="shared" si="24"/>
        <v>1035322.4160000001</v>
      </c>
      <c r="AB63" s="103">
        <f>AB55+AB57+AB61</f>
        <v>204341.001</v>
      </c>
      <c r="AC63" s="30">
        <f t="shared" si="24"/>
        <v>385597.75599999994</v>
      </c>
      <c r="AD63" s="30">
        <f t="shared" si="24"/>
        <v>79642.65299999987</v>
      </c>
      <c r="AE63" s="103">
        <f>AE55+AE57+AE61</f>
        <v>2671</v>
      </c>
      <c r="AF63" s="30">
        <f t="shared" si="24"/>
        <v>363926</v>
      </c>
      <c r="AG63" s="30">
        <f t="shared" si="24"/>
        <v>138110.109</v>
      </c>
      <c r="AH63" s="30">
        <f t="shared" si="24"/>
        <v>357394.58999999997</v>
      </c>
      <c r="AI63" s="30">
        <f t="shared" si="24"/>
        <v>335265.4570000001</v>
      </c>
      <c r="AJ63" s="103">
        <f>AJ55+AJ57+AJ61</f>
        <v>53411.611</v>
      </c>
      <c r="AK63" s="30">
        <f t="shared" si="24"/>
        <v>591240.865</v>
      </c>
      <c r="AL63" s="103">
        <f>AL55+AL57+AL61</f>
        <v>2448.004000000001</v>
      </c>
      <c r="AM63" s="30">
        <f t="shared" si="24"/>
        <v>1398415.0309999995</v>
      </c>
      <c r="AN63" s="103">
        <f>AN55+AN57+AN61</f>
        <v>1039040</v>
      </c>
      <c r="AO63" s="30">
        <f t="shared" si="24"/>
        <v>1885909.5650000004</v>
      </c>
      <c r="AP63" s="103">
        <f>AP55+AP57+AP61</f>
        <v>1364216</v>
      </c>
      <c r="AQ63" s="30">
        <f t="shared" si="24"/>
        <v>1184990.3479999998</v>
      </c>
      <c r="AR63" s="30">
        <f t="shared" si="24"/>
        <v>289116.58</v>
      </c>
      <c r="AS63" s="103">
        <f>AS55+AS57+AS61</f>
        <v>1331.28</v>
      </c>
      <c r="AT63" s="30">
        <f t="shared" si="24"/>
        <v>619036.6919999999</v>
      </c>
      <c r="AU63" s="103">
        <f>AU55+AU57+AU61</f>
        <v>2946.2590000000005</v>
      </c>
      <c r="AV63" s="30">
        <f t="shared" si="24"/>
        <v>1017054</v>
      </c>
      <c r="AW63" s="103">
        <f>AW55+AW57+AW61</f>
        <v>741655</v>
      </c>
      <c r="AX63" s="30">
        <f t="shared" si="24"/>
        <v>91865.58300000004</v>
      </c>
      <c r="AY63" s="30">
        <f aca="true" t="shared" si="25" ref="AY63:CL63">AY55+AY57+AY61</f>
        <v>461591.82300000003</v>
      </c>
      <c r="AZ63" s="103">
        <f>AZ55+AZ57+AZ61</f>
        <v>156827.987</v>
      </c>
      <c r="BA63" s="30">
        <f t="shared" si="25"/>
        <v>276921.62399999995</v>
      </c>
      <c r="BB63" s="30">
        <f t="shared" si="25"/>
        <v>701062.079</v>
      </c>
      <c r="BC63" s="103">
        <f>BC55+BC57+BC61</f>
        <v>583597.3929999999</v>
      </c>
      <c r="BD63" s="30">
        <f t="shared" si="25"/>
        <v>261938.66999999995</v>
      </c>
      <c r="BE63" s="103">
        <f>BE55+BE57+BE61</f>
        <v>556.316</v>
      </c>
      <c r="BF63" s="30">
        <f t="shared" si="25"/>
        <v>341001.656</v>
      </c>
      <c r="BG63" s="103">
        <f>BG55+BG57+BG61</f>
        <v>32077.837</v>
      </c>
      <c r="BH63" s="30">
        <f t="shared" si="25"/>
        <v>256972.81499999994</v>
      </c>
      <c r="BI63" s="103">
        <f>BI55+BI57+BI61</f>
        <v>23711.87</v>
      </c>
      <c r="BJ63" s="30">
        <f t="shared" si="25"/>
        <v>1812.532999999923</v>
      </c>
      <c r="BK63" s="30">
        <f t="shared" si="25"/>
        <v>-213437.711</v>
      </c>
      <c r="BL63" s="103">
        <f t="shared" si="25"/>
        <v>-217578.71099999998</v>
      </c>
      <c r="BM63" s="103">
        <f t="shared" si="25"/>
        <v>4140.999999999997</v>
      </c>
      <c r="BN63" s="30">
        <f t="shared" si="25"/>
        <v>-162963.75</v>
      </c>
      <c r="BO63" s="30">
        <f t="shared" si="25"/>
        <v>51688.59900000002</v>
      </c>
      <c r="BP63" s="30">
        <f t="shared" si="25"/>
        <v>8405.00900000002</v>
      </c>
      <c r="BQ63" s="30">
        <f t="shared" si="25"/>
        <v>229267.97000000003</v>
      </c>
      <c r="BR63" s="30">
        <f t="shared" si="25"/>
        <v>907420.7760000001</v>
      </c>
      <c r="BS63" s="103">
        <f t="shared" si="25"/>
        <v>825114.9910000002</v>
      </c>
      <c r="BT63" s="103">
        <f t="shared" si="25"/>
        <v>69755.538</v>
      </c>
      <c r="BU63" s="103">
        <f>BU55+BU57+BU61</f>
        <v>12550.247999999998</v>
      </c>
      <c r="BV63" s="30">
        <f t="shared" si="25"/>
        <v>-69232.76500000001</v>
      </c>
      <c r="BW63" s="30">
        <f t="shared" si="25"/>
        <v>94343.41399999999</v>
      </c>
      <c r="BX63" s="30">
        <f t="shared" si="25"/>
        <v>277133.726</v>
      </c>
      <c r="BY63" s="103">
        <f>BY55+BY57+BY61</f>
        <v>197694.40499999997</v>
      </c>
      <c r="BZ63" s="30">
        <f t="shared" si="25"/>
        <v>107419.128</v>
      </c>
      <c r="CA63" s="103">
        <f t="shared" si="25"/>
        <v>40665.376000000004</v>
      </c>
      <c r="CB63" s="103">
        <f t="shared" si="25"/>
        <v>66753.75199999998</v>
      </c>
      <c r="CC63" s="30">
        <f t="shared" si="25"/>
        <v>27146.40499999999</v>
      </c>
      <c r="CD63" s="30">
        <f t="shared" si="25"/>
        <v>-3756.418000000005</v>
      </c>
      <c r="CE63" s="103">
        <f>CE55+CE57+CE61</f>
        <v>-26094.093999999983</v>
      </c>
      <c r="CF63" s="30">
        <f t="shared" si="25"/>
        <v>71303.117</v>
      </c>
      <c r="CG63" s="30">
        <f t="shared" si="25"/>
        <v>53117.371000000014</v>
      </c>
      <c r="CH63" s="30">
        <f t="shared" si="25"/>
        <v>-26706.491000000005</v>
      </c>
      <c r="CI63" s="30">
        <f t="shared" si="25"/>
        <v>8535.222999999993</v>
      </c>
      <c r="CJ63" s="30">
        <f t="shared" si="25"/>
        <v>19451.227000000003</v>
      </c>
      <c r="CK63" s="30">
        <f t="shared" si="25"/>
        <v>-13858.116000000002</v>
      </c>
      <c r="CL63" s="30">
        <f t="shared" si="25"/>
        <v>12933.61200000001</v>
      </c>
      <c r="CM63" s="30">
        <f aca="true" t="shared" si="26" ref="CM63:CS63">CM55+CM57+CM61</f>
        <v>15873.752</v>
      </c>
      <c r="CN63" s="30">
        <f t="shared" si="26"/>
        <v>1783.8509999999978</v>
      </c>
      <c r="CO63" s="30">
        <f t="shared" si="26"/>
        <v>-25231.477000000006</v>
      </c>
      <c r="CP63" s="30">
        <f t="shared" si="26"/>
        <v>-22361.729</v>
      </c>
      <c r="CQ63" s="103">
        <f>CQ55+CQ57+CQ61</f>
        <v>-23929.683</v>
      </c>
      <c r="CR63" s="30">
        <f t="shared" si="26"/>
        <v>-12630.911</v>
      </c>
      <c r="CS63" s="30">
        <f t="shared" si="26"/>
        <v>-1303.333</v>
      </c>
      <c r="CT63" s="30"/>
      <c r="CV63" s="30">
        <f t="shared" si="0"/>
        <v>49087646.70100001</v>
      </c>
      <c r="CW63" s="30"/>
      <c r="CX63" s="30">
        <f t="shared" si="1"/>
        <v>17238739.378999997</v>
      </c>
      <c r="CY63" s="30">
        <f t="shared" si="2"/>
        <v>31848907.322</v>
      </c>
      <c r="CZ63" s="30"/>
      <c r="DA63" s="30">
        <f t="shared" si="3"/>
        <v>0</v>
      </c>
    </row>
    <row r="64" spans="1:105" ht="8.25" customHeight="1">
      <c r="A64" s="139"/>
      <c r="CV64" s="30"/>
      <c r="CW64" s="30"/>
      <c r="CX64" s="30"/>
      <c r="CY64" s="30"/>
      <c r="DA64" s="30">
        <f t="shared" si="3"/>
        <v>0</v>
      </c>
    </row>
    <row r="65" spans="1:105" ht="12.75">
      <c r="A65" s="135" t="s">
        <v>241</v>
      </c>
      <c r="B65" s="30">
        <f>75604040.748+1570586+3616</f>
        <v>77178242.748</v>
      </c>
      <c r="C65" s="103">
        <v>144533.069</v>
      </c>
      <c r="D65" s="30">
        <v>61105843.680999994</v>
      </c>
      <c r="E65" s="103">
        <v>52780488</v>
      </c>
      <c r="F65" s="103">
        <v>8065388</v>
      </c>
      <c r="G65" s="103">
        <v>39776</v>
      </c>
      <c r="H65" s="103">
        <v>6627</v>
      </c>
      <c r="I65" s="103">
        <v>213565</v>
      </c>
      <c r="J65" s="30">
        <v>45578662.67</v>
      </c>
      <c r="K65" s="103">
        <v>19333.015</v>
      </c>
      <c r="L65" s="30">
        <v>39546394.131</v>
      </c>
      <c r="M65" s="103">
        <v>39511546.88</v>
      </c>
      <c r="N65" s="103">
        <v>0</v>
      </c>
      <c r="O65" s="103">
        <v>34847.251</v>
      </c>
      <c r="P65" s="30">
        <v>38938962.862</v>
      </c>
      <c r="Q65" s="103">
        <v>690.473</v>
      </c>
      <c r="R65" s="30">
        <v>18733051.8</v>
      </c>
      <c r="S65" s="103">
        <v>8131.71</v>
      </c>
      <c r="T65" s="30">
        <f>17104879.365+165042.607</f>
        <v>17269921.972</v>
      </c>
      <c r="U65" s="103">
        <v>11503.547</v>
      </c>
      <c r="V65" s="30">
        <v>17152927.465</v>
      </c>
      <c r="W65" s="103">
        <v>14998677.826</v>
      </c>
      <c r="X65" s="103">
        <v>2154249.64</v>
      </c>
      <c r="Y65" s="30">
        <v>14543967.708</v>
      </c>
      <c r="Z65" s="103">
        <v>26915.934</v>
      </c>
      <c r="AA65" s="30">
        <v>14568854.772</v>
      </c>
      <c r="AB65" s="103">
        <v>323430.869</v>
      </c>
      <c r="AC65" s="30">
        <v>13468985.357</v>
      </c>
      <c r="AD65" s="30">
        <v>12158485.009</v>
      </c>
      <c r="AE65" s="103">
        <v>2136</v>
      </c>
      <c r="AF65" s="30">
        <v>11378547.701</v>
      </c>
      <c r="AG65" s="30">
        <v>11379958.215</v>
      </c>
      <c r="AH65" s="30">
        <v>10656111.397</v>
      </c>
      <c r="AI65" s="30">
        <v>10308089.395</v>
      </c>
      <c r="AJ65" s="103">
        <v>31452.117</v>
      </c>
      <c r="AK65" s="30">
        <v>9454707.752</v>
      </c>
      <c r="AL65" s="103">
        <v>1475.865</v>
      </c>
      <c r="AM65" s="30">
        <v>7464141.726</v>
      </c>
      <c r="AN65" s="103">
        <v>7335226</v>
      </c>
      <c r="AO65" s="30">
        <v>6617626.916</v>
      </c>
      <c r="AP65" s="103">
        <v>6397789</v>
      </c>
      <c r="AQ65" s="30">
        <v>6319783.056</v>
      </c>
      <c r="AR65" s="30">
        <v>6900107.050999999</v>
      </c>
      <c r="AS65" s="103">
        <v>1090.303</v>
      </c>
      <c r="AT65" s="30">
        <v>6153905.3100000005</v>
      </c>
      <c r="AU65" s="103"/>
      <c r="AV65" s="30">
        <v>5440357</v>
      </c>
      <c r="AW65" s="103">
        <v>5390676</v>
      </c>
      <c r="AX65" s="30">
        <v>5978913.729</v>
      </c>
      <c r="AY65" s="30">
        <v>5096100.049</v>
      </c>
      <c r="AZ65" s="103">
        <v>4505169.59</v>
      </c>
      <c r="BA65" s="30">
        <v>4935652.306</v>
      </c>
      <c r="BB65" s="30">
        <v>3322550.51</v>
      </c>
      <c r="BC65" s="103">
        <f>3322550.51-9889.646</f>
        <v>3312660.8639999996</v>
      </c>
      <c r="BD65" s="30">
        <v>3029798.1110000005</v>
      </c>
      <c r="BE65" s="103">
        <v>360.326</v>
      </c>
      <c r="BF65" s="30">
        <v>2873725.847</v>
      </c>
      <c r="BG65" s="103">
        <v>25854.708</v>
      </c>
      <c r="BH65" s="30">
        <f>2843557.577</f>
        <v>2843557.577</v>
      </c>
      <c r="BI65" s="103">
        <v>20833.489</v>
      </c>
      <c r="BJ65" s="30">
        <v>3004878.7060000002</v>
      </c>
      <c r="BK65" s="30">
        <v>2734930.638</v>
      </c>
      <c r="BL65" s="103">
        <v>2507316.638</v>
      </c>
      <c r="BM65" s="103">
        <v>227614</v>
      </c>
      <c r="BN65" s="30">
        <v>2533834.194</v>
      </c>
      <c r="BO65" s="30">
        <v>1941745.286</v>
      </c>
      <c r="BP65" s="30">
        <v>1969065.521</v>
      </c>
      <c r="BQ65" s="30">
        <v>1645907.111</v>
      </c>
      <c r="BR65" s="30">
        <v>575842.6259999999</v>
      </c>
      <c r="BS65" s="103">
        <v>484151.58</v>
      </c>
      <c r="BT65" s="103">
        <v>84674.278</v>
      </c>
      <c r="BU65" s="103">
        <v>7016.768</v>
      </c>
      <c r="BV65" s="30">
        <v>1508002.205</v>
      </c>
      <c r="BW65" s="30">
        <v>1254878.1639999999</v>
      </c>
      <c r="BX65" s="30">
        <v>1033815.554</v>
      </c>
      <c r="BY65" s="103">
        <v>1033815.555</v>
      </c>
      <c r="BZ65" s="30">
        <v>1144350.632</v>
      </c>
      <c r="CA65" s="103">
        <f>+BZ65-CB65</f>
        <v>61764.658000000054</v>
      </c>
      <c r="CB65" s="103">
        <v>1082585.974</v>
      </c>
      <c r="CC65" s="30">
        <v>1158585.3490000002</v>
      </c>
      <c r="CD65" s="30">
        <v>1071768.286</v>
      </c>
      <c r="CE65" s="103">
        <v>1069744.571</v>
      </c>
      <c r="CF65" s="30">
        <v>986069.7</v>
      </c>
      <c r="CG65" s="30">
        <v>712937.021</v>
      </c>
      <c r="CH65" s="30">
        <v>663861.958</v>
      </c>
      <c r="CI65" s="30">
        <v>573198.334</v>
      </c>
      <c r="CJ65" s="30">
        <v>448140.628</v>
      </c>
      <c r="CK65" s="30">
        <v>460896.326</v>
      </c>
      <c r="CL65" s="30">
        <v>404826.634</v>
      </c>
      <c r="CM65" s="30">
        <v>271325.78</v>
      </c>
      <c r="CN65" s="30">
        <v>163389.986</v>
      </c>
      <c r="CO65" s="30">
        <v>134524.91599999997</v>
      </c>
      <c r="CP65" s="30">
        <v>106532.07900000001</v>
      </c>
      <c r="CQ65" s="103">
        <v>91040.053</v>
      </c>
      <c r="CR65" s="30">
        <v>88750.40299999999</v>
      </c>
      <c r="CS65" s="30">
        <v>10213.533000000001</v>
      </c>
      <c r="CT65" s="30"/>
      <c r="CV65" s="30">
        <f t="shared" si="0"/>
        <v>517000205.39299995</v>
      </c>
      <c r="CW65" s="30"/>
      <c r="CX65" s="30">
        <f t="shared" si="1"/>
        <v>78744549.493</v>
      </c>
      <c r="CY65" s="30">
        <f t="shared" si="2"/>
        <v>438255655.9</v>
      </c>
      <c r="CZ65" s="30"/>
      <c r="DA65" s="30">
        <f t="shared" si="3"/>
        <v>0</v>
      </c>
    </row>
    <row r="66" spans="1:105" ht="4.5" customHeight="1">
      <c r="A66" s="135"/>
      <c r="CV66" s="30"/>
      <c r="CW66" s="112"/>
      <c r="CX66" s="30"/>
      <c r="CY66" s="30"/>
      <c r="DA66" s="30">
        <f t="shared" si="3"/>
        <v>0</v>
      </c>
    </row>
    <row r="67" spans="1:105" ht="12.75">
      <c r="A67" s="135" t="s">
        <v>295</v>
      </c>
      <c r="CV67" s="30"/>
      <c r="CW67" s="112"/>
      <c r="CX67" s="30"/>
      <c r="CY67" s="30"/>
      <c r="DA67" s="30">
        <f t="shared" si="3"/>
        <v>0</v>
      </c>
    </row>
    <row r="68" spans="1:105" ht="12.75">
      <c r="A68" s="135" t="s">
        <v>296</v>
      </c>
      <c r="B68" s="30">
        <f aca="true" t="shared" si="27" ref="B68:BM68">B65+B63</f>
        <v>85686756.338</v>
      </c>
      <c r="C68" s="103">
        <f t="shared" si="27"/>
        <v>350809.831</v>
      </c>
      <c r="D68" s="30">
        <f t="shared" si="27"/>
        <v>76087893.681</v>
      </c>
      <c r="E68" s="103">
        <f t="shared" si="27"/>
        <v>63079254</v>
      </c>
      <c r="F68" s="103">
        <f t="shared" si="27"/>
        <v>12477373</v>
      </c>
      <c r="G68" s="103">
        <f t="shared" si="27"/>
        <v>75739</v>
      </c>
      <c r="H68" s="103">
        <f t="shared" si="27"/>
        <v>13166</v>
      </c>
      <c r="I68" s="103">
        <f t="shared" si="27"/>
        <v>442362</v>
      </c>
      <c r="J68" s="30">
        <f>J65+J63+1</f>
        <v>48084459.935</v>
      </c>
      <c r="K68" s="103">
        <f>K65+K63</f>
        <v>40886.836</v>
      </c>
      <c r="L68" s="30">
        <f t="shared" si="27"/>
        <v>42083353.864999995</v>
      </c>
      <c r="M68" s="103">
        <f t="shared" si="27"/>
        <v>41926041.413</v>
      </c>
      <c r="N68" s="103">
        <f t="shared" si="27"/>
        <v>106833.71099999998</v>
      </c>
      <c r="O68" s="103">
        <f t="shared" si="27"/>
        <v>50478.693</v>
      </c>
      <c r="P68" s="30">
        <f t="shared" si="27"/>
        <v>41161795.553</v>
      </c>
      <c r="Q68" s="103">
        <f t="shared" si="27"/>
        <v>3528.884</v>
      </c>
      <c r="R68" s="30">
        <f t="shared" si="27"/>
        <v>19504233.302</v>
      </c>
      <c r="S68" s="103">
        <f t="shared" si="27"/>
        <v>80816.696</v>
      </c>
      <c r="T68" s="30">
        <f t="shared" si="27"/>
        <v>19242728.761</v>
      </c>
      <c r="U68" s="103">
        <f t="shared" si="27"/>
        <v>19606.054</v>
      </c>
      <c r="V68" s="30">
        <f t="shared" si="27"/>
        <v>17598639.454</v>
      </c>
      <c r="W68" s="103">
        <f t="shared" si="27"/>
        <v>15100596.418</v>
      </c>
      <c r="X68" s="103">
        <f t="shared" si="27"/>
        <v>2498043.037</v>
      </c>
      <c r="Y68" s="30">
        <f>Y65+Y63</f>
        <v>16277232.525</v>
      </c>
      <c r="Z68" s="103">
        <f>Z65+Z63</f>
        <v>64234.507</v>
      </c>
      <c r="AA68" s="30">
        <f t="shared" si="27"/>
        <v>15604177.188</v>
      </c>
      <c r="AB68" s="103">
        <f t="shared" si="27"/>
        <v>527771.87</v>
      </c>
      <c r="AC68" s="30">
        <f t="shared" si="27"/>
        <v>13854583.113</v>
      </c>
      <c r="AD68" s="30">
        <f t="shared" si="27"/>
        <v>12238127.661999999</v>
      </c>
      <c r="AE68" s="103">
        <f t="shared" si="27"/>
        <v>4807</v>
      </c>
      <c r="AF68" s="30">
        <f>AF65+AF63</f>
        <v>11742473.701</v>
      </c>
      <c r="AG68" s="30">
        <f t="shared" si="27"/>
        <v>11518068.324</v>
      </c>
      <c r="AH68" s="30">
        <f>AH65+AH63</f>
        <v>11013505.987</v>
      </c>
      <c r="AI68" s="30">
        <f t="shared" si="27"/>
        <v>10643354.852</v>
      </c>
      <c r="AJ68" s="103">
        <f t="shared" si="27"/>
        <v>84863.728</v>
      </c>
      <c r="AK68" s="30">
        <f t="shared" si="27"/>
        <v>10045948.617</v>
      </c>
      <c r="AL68" s="103">
        <f t="shared" si="27"/>
        <v>3923.8690000000006</v>
      </c>
      <c r="AM68" s="30">
        <f t="shared" si="27"/>
        <v>8862556.757</v>
      </c>
      <c r="AN68" s="103">
        <f t="shared" si="27"/>
        <v>8374266</v>
      </c>
      <c r="AO68" s="30">
        <f>AO65+AO63</f>
        <v>8503536.481</v>
      </c>
      <c r="AP68" s="103">
        <f>AP65+AP63</f>
        <v>7762005</v>
      </c>
      <c r="AQ68" s="30">
        <f>AQ65+AQ63</f>
        <v>7504773.403999999</v>
      </c>
      <c r="AR68" s="30">
        <f t="shared" si="27"/>
        <v>7189223.630999999</v>
      </c>
      <c r="AS68" s="103">
        <f t="shared" si="27"/>
        <v>2421.583</v>
      </c>
      <c r="AT68" s="30">
        <f t="shared" si="27"/>
        <v>6772942.002</v>
      </c>
      <c r="AU68" s="103">
        <f t="shared" si="27"/>
        <v>2946.2590000000005</v>
      </c>
      <c r="AV68" s="30">
        <f>AV65+AV63</f>
        <v>6457411</v>
      </c>
      <c r="AW68" s="103">
        <f>AW65+AW63</f>
        <v>6132331</v>
      </c>
      <c r="AX68" s="30">
        <f t="shared" si="27"/>
        <v>6070779.312</v>
      </c>
      <c r="AY68" s="30">
        <f t="shared" si="27"/>
        <v>5557691.8719999995</v>
      </c>
      <c r="AZ68" s="103">
        <f t="shared" si="27"/>
        <v>4661997.577</v>
      </c>
      <c r="BA68" s="30">
        <f t="shared" si="27"/>
        <v>5212573.93</v>
      </c>
      <c r="BB68" s="30">
        <f t="shared" si="27"/>
        <v>4023612.5889999997</v>
      </c>
      <c r="BC68" s="103">
        <f t="shared" si="27"/>
        <v>3896258.2569999993</v>
      </c>
      <c r="BD68" s="30">
        <f t="shared" si="27"/>
        <v>3291736.7810000004</v>
      </c>
      <c r="BE68" s="103">
        <f t="shared" si="27"/>
        <v>916.642</v>
      </c>
      <c r="BF68" s="30">
        <f>BF65+BF63</f>
        <v>3214727.503</v>
      </c>
      <c r="BG68" s="103">
        <f>BG65+BG63</f>
        <v>57932.545</v>
      </c>
      <c r="BH68" s="30">
        <f>BH65+BH63</f>
        <v>3100530.392</v>
      </c>
      <c r="BI68" s="103">
        <f>BI65+BI63</f>
        <v>44545.359</v>
      </c>
      <c r="BJ68" s="30">
        <f t="shared" si="27"/>
        <v>3006691.239</v>
      </c>
      <c r="BK68" s="30">
        <f t="shared" si="27"/>
        <v>2521492.9269999997</v>
      </c>
      <c r="BL68" s="103">
        <f t="shared" si="27"/>
        <v>2289737.9269999997</v>
      </c>
      <c r="BM68" s="103">
        <f t="shared" si="27"/>
        <v>231755</v>
      </c>
      <c r="BN68" s="30">
        <f aca="true" t="shared" si="28" ref="BN68:CR68">BN65+BN63</f>
        <v>2370870.444</v>
      </c>
      <c r="BO68" s="30">
        <f>BO65+BO63</f>
        <v>1993433.885</v>
      </c>
      <c r="BP68" s="30">
        <f t="shared" si="28"/>
        <v>1977470.53</v>
      </c>
      <c r="BQ68" s="30">
        <f t="shared" si="28"/>
        <v>1875175.081</v>
      </c>
      <c r="BR68" s="30">
        <f>BR65+BR63</f>
        <v>1483263.402</v>
      </c>
      <c r="BS68" s="103">
        <f>BS65+BS63</f>
        <v>1309266.5710000002</v>
      </c>
      <c r="BT68" s="103">
        <f>BT65+BT63</f>
        <v>154429.816</v>
      </c>
      <c r="BU68" s="103">
        <f>BU65+BU63</f>
        <v>19567.015999999996</v>
      </c>
      <c r="BV68" s="30">
        <f>BV65+BV63</f>
        <v>1438769.44</v>
      </c>
      <c r="BW68" s="30">
        <f t="shared" si="28"/>
        <v>1349221.5779999997</v>
      </c>
      <c r="BX68" s="30">
        <f>BX65+BX63</f>
        <v>1310949.28</v>
      </c>
      <c r="BY68" s="103">
        <f>BY65+BY63</f>
        <v>1231509.96</v>
      </c>
      <c r="BZ68" s="30">
        <f>BZ65+BZ63</f>
        <v>1251769.76</v>
      </c>
      <c r="CA68" s="103">
        <f>CA65+CA63</f>
        <v>102430.03400000006</v>
      </c>
      <c r="CB68" s="103">
        <f>CB65+CB63</f>
        <v>1149339.7259999998</v>
      </c>
      <c r="CC68" s="30">
        <f t="shared" si="28"/>
        <v>1185731.7540000002</v>
      </c>
      <c r="CD68" s="30">
        <f t="shared" si="28"/>
        <v>1068011.868</v>
      </c>
      <c r="CE68" s="103">
        <f>CE65+CE63</f>
        <v>1043650.477</v>
      </c>
      <c r="CF68" s="30">
        <f t="shared" si="28"/>
        <v>1057372.817</v>
      </c>
      <c r="CG68" s="30">
        <f t="shared" si="28"/>
        <v>766054.392</v>
      </c>
      <c r="CH68" s="30">
        <f t="shared" si="28"/>
        <v>637155.467</v>
      </c>
      <c r="CI68" s="30">
        <f t="shared" si="28"/>
        <v>581733.557</v>
      </c>
      <c r="CJ68" s="30">
        <f>CJ65+CJ63</f>
        <v>467591.85500000004</v>
      </c>
      <c r="CK68" s="30">
        <f t="shared" si="28"/>
        <v>447038.21</v>
      </c>
      <c r="CL68" s="30">
        <f t="shared" si="28"/>
        <v>417760.24600000004</v>
      </c>
      <c r="CM68" s="30">
        <f t="shared" si="28"/>
        <v>287199.532</v>
      </c>
      <c r="CN68" s="30">
        <f t="shared" si="28"/>
        <v>165173.837</v>
      </c>
      <c r="CO68" s="30">
        <f t="shared" si="28"/>
        <v>109293.43899999995</v>
      </c>
      <c r="CP68" s="30">
        <f>CP65+CP63</f>
        <v>84170.35</v>
      </c>
      <c r="CQ68" s="103">
        <f>CQ65+CQ63</f>
        <v>67110.37</v>
      </c>
      <c r="CR68" s="30">
        <f t="shared" si="28"/>
        <v>76119.492</v>
      </c>
      <c r="CS68" s="30">
        <f>CS65+CS63</f>
        <v>8910.2</v>
      </c>
      <c r="CT68" s="30"/>
      <c r="CV68" s="30">
        <f t="shared" si="0"/>
        <v>566087853.0939999</v>
      </c>
      <c r="CW68" s="112"/>
      <c r="CX68" s="30">
        <f t="shared" si="1"/>
        <v>95983288.87200001</v>
      </c>
      <c r="CY68" s="30">
        <f t="shared" si="2"/>
        <v>470104564.2219998</v>
      </c>
      <c r="CZ68" s="30"/>
      <c r="DA68" s="30">
        <f t="shared" si="3"/>
        <v>0</v>
      </c>
    </row>
    <row r="69" spans="100:105" ht="12.75">
      <c r="CV69" s="112"/>
      <c r="CW69" s="112"/>
      <c r="CX69" s="112"/>
      <c r="CY69" s="112"/>
      <c r="DA69" s="30">
        <f t="shared" si="3"/>
        <v>0</v>
      </c>
    </row>
    <row r="70" spans="1:105" s="144" customFormat="1" ht="12.75" hidden="1">
      <c r="A70" s="144" t="s">
        <v>459</v>
      </c>
      <c r="B70" s="144">
        <f>+B68-'3.1 Efnah.'!B58</f>
        <v>0.2370000034570694</v>
      </c>
      <c r="C70" s="145">
        <f>+C68-'3.1 Efnah.'!C58</f>
        <v>0</v>
      </c>
      <c r="D70" s="144">
        <f>+D68-'3.1 Efnah.'!D58</f>
        <v>-0.3190000057220459</v>
      </c>
      <c r="E70" s="145">
        <f>+E68-'3.1 Efnah.'!E58</f>
        <v>0</v>
      </c>
      <c r="F70" s="145">
        <f>+F68-'3.1 Efnah.'!F58</f>
        <v>0</v>
      </c>
      <c r="G70" s="145">
        <f>+G68-'3.1 Efnah.'!G58</f>
        <v>0</v>
      </c>
      <c r="H70" s="145">
        <f>+H68-'3.1 Efnah.'!H58</f>
        <v>0</v>
      </c>
      <c r="I70" s="145">
        <f>+I68-'3.1 Efnah.'!I58</f>
        <v>0</v>
      </c>
      <c r="J70" s="144">
        <f>+J68-'3.1 Efnah.'!J58</f>
        <v>0.33399999886751175</v>
      </c>
      <c r="K70" s="145">
        <f>+K68-'3.1 Efnah.'!K58</f>
        <v>0.000999999996565748</v>
      </c>
      <c r="L70" s="144">
        <f>+L68-'3.1 Efnah.'!L58</f>
        <v>-0.13500000536441803</v>
      </c>
      <c r="M70" s="145">
        <f>+M68-'3.1 Efnah.'!M58</f>
        <v>0</v>
      </c>
      <c r="N70" s="145">
        <f>+N68-'3.1 Efnah.'!N58</f>
        <v>0</v>
      </c>
      <c r="O70" s="145">
        <f>+O68-'3.1 Efnah.'!O58</f>
        <v>-0.04800000000250293</v>
      </c>
      <c r="P70" s="144">
        <f>+P68-'3.1 Efnah.'!P58</f>
        <v>0</v>
      </c>
      <c r="Q70" s="145">
        <f>+Q68-'3.1 Efnah.'!Q58</f>
        <v>0</v>
      </c>
      <c r="R70" s="144">
        <f>+R68-'3.1 Efnah.'!R58</f>
        <v>-0.0010000020265579224</v>
      </c>
      <c r="S70" s="145">
        <f>+S68-'3.1 Efnah.'!S58</f>
        <v>0</v>
      </c>
      <c r="T70" s="144">
        <f>+T68-'3.1 Efnah.'!T58</f>
        <v>-0.000999998301267624</v>
      </c>
      <c r="U70" s="145">
        <f>+U68-'3.1 Efnah.'!U58</f>
        <v>-0.0010000000038417056</v>
      </c>
      <c r="V70" s="144">
        <f>+V68-'3.1 Efnah.'!V58</f>
        <v>-0.0010000020265579224</v>
      </c>
      <c r="W70" s="145">
        <f>+W68-'3.1 Efnah.'!W58</f>
        <v>0</v>
      </c>
      <c r="X70" s="145">
        <f>+X68-'3.1 Efnah.'!X58</f>
        <v>0</v>
      </c>
      <c r="Y70" s="144">
        <f>+Y68-'3.1 Efnah.'!Y58</f>
        <v>0</v>
      </c>
      <c r="Z70" s="145">
        <f>+Z68-'3.1 Efnah.'!Z58</f>
        <v>0</v>
      </c>
      <c r="AA70" s="144">
        <f>+AA68-'3.1 Efnah.'!AA58</f>
        <v>0</v>
      </c>
      <c r="AB70" s="145">
        <f>+AB68-'3.1 Efnah.'!AB58</f>
        <v>0</v>
      </c>
      <c r="AC70" s="144">
        <f>+AC68-'3.1 Efnah.'!AC58</f>
        <v>0.0010000001639127731</v>
      </c>
      <c r="AD70" s="144">
        <f>+AD68-'3.1 Efnah.'!AD58</f>
        <v>0</v>
      </c>
      <c r="AE70" s="145">
        <f>+AE68-'3.1 Efnah.'!AE58</f>
        <v>0</v>
      </c>
      <c r="AF70" s="144">
        <f>+AF68-'3.1 Efnah.'!AF58</f>
        <v>-0.2990000005811453</v>
      </c>
      <c r="AG70" s="144">
        <f>+AG68-'3.1 Efnah.'!AG58</f>
        <v>0</v>
      </c>
      <c r="AH70" s="144">
        <f>+AH68-'3.1 Efnah.'!AH58</f>
        <v>0</v>
      </c>
      <c r="AI70" s="144">
        <f>+AI68-'3.1 Efnah.'!AI58</f>
        <v>0</v>
      </c>
      <c r="AJ70" s="145">
        <f>+AJ68-'3.1 Efnah.'!AJ58</f>
        <v>0.27900000000954606</v>
      </c>
      <c r="AK70" s="144">
        <f>+AK68-'3.1 Efnah.'!AK58</f>
        <v>0.0010000001639127731</v>
      </c>
      <c r="AL70" s="145">
        <f>+AL68-'3.1 Efnah.'!AL58</f>
        <v>0</v>
      </c>
      <c r="AM70" s="144">
        <f>+AM68-'3.1 Efnah.'!AM58</f>
        <v>0.1810000017285347</v>
      </c>
      <c r="AN70" s="145">
        <f>+AN68-'3.1 Efnah.'!AN58</f>
        <v>0</v>
      </c>
      <c r="AO70" s="144">
        <f>+AO68-'3.1 Efnah.'!AO58</f>
        <v>0</v>
      </c>
      <c r="AP70" s="145">
        <f>+AP68-'3.1 Efnah.'!AP58</f>
        <v>0</v>
      </c>
      <c r="AQ70" s="144">
        <f>+AQ68-'3.1 Efnah.'!AQ58</f>
        <v>0</v>
      </c>
      <c r="AR70" s="144">
        <f>+AR68-'3.1 Efnah.'!AR58</f>
        <v>0</v>
      </c>
      <c r="AS70" s="145">
        <f>+AS68-'3.1 Efnah.'!AS58</f>
        <v>0.05400000000008731</v>
      </c>
      <c r="AT70" s="144">
        <f>+AT68-'3.1 Efnah.'!AT58</f>
        <v>0</v>
      </c>
      <c r="AU70" s="145">
        <f>+AU68-'3.1 Efnah.'!AU58</f>
        <v>-0.0819999999994252</v>
      </c>
      <c r="AV70" s="144">
        <f>+AV68-'3.1 Efnah.'!AV58</f>
        <v>0</v>
      </c>
      <c r="AW70" s="145">
        <f>+AW68-'3.1 Efnah.'!AW58</f>
        <v>0</v>
      </c>
      <c r="AX70" s="144">
        <f>+AX68-'3.1 Efnah.'!AX58</f>
        <v>0</v>
      </c>
      <c r="AY70" s="144">
        <f>+AY68-'3.1 Efnah.'!AY58</f>
        <v>0.0009999992325901985</v>
      </c>
      <c r="AZ70" s="145">
        <f>+AZ68-'3.1 Efnah.'!AZ58</f>
        <v>0</v>
      </c>
      <c r="BA70" s="144">
        <f>+BA68-'3.1 Efnah.'!BA58</f>
        <v>0</v>
      </c>
      <c r="BB70" s="144">
        <f>+BB68-'3.1 Efnah.'!BB58</f>
        <v>-0.001999999862164259</v>
      </c>
      <c r="BC70" s="145">
        <f>+BC68-'3.1 Efnah.'!BC58</f>
        <v>-0.0010000006295740604</v>
      </c>
      <c r="BD70" s="144">
        <f>+BD68-'3.1 Efnah.'!BD58</f>
        <v>0</v>
      </c>
      <c r="BE70" s="145">
        <f>+BE68-'3.1 Efnah.'!BE58</f>
        <v>0</v>
      </c>
      <c r="BF70" s="144">
        <f>+BF68-'3.1 Efnah.'!BF58</f>
        <v>0</v>
      </c>
      <c r="BG70" s="145">
        <f>+BG68-'3.1 Efnah.'!BG58</f>
        <v>0</v>
      </c>
      <c r="BH70" s="144">
        <f>+BH68-'3.1 Efnah.'!BH58</f>
        <v>0</v>
      </c>
      <c r="BI70" s="145">
        <f>+BI68-'3.1 Efnah.'!BI58</f>
        <v>0</v>
      </c>
      <c r="BJ70" s="144">
        <f>+BJ68-'3.1 Efnah.'!BJ58</f>
        <v>0</v>
      </c>
      <c r="BK70" s="144">
        <f>+BK68-'3.1 Efnah.'!BK58</f>
        <v>0</v>
      </c>
      <c r="BL70" s="145">
        <f>+BL68-'3.1 Efnah.'!BL58</f>
        <v>0</v>
      </c>
      <c r="BM70" s="145">
        <f>+BM68-'3.1 Efnah.'!BM58</f>
        <v>0</v>
      </c>
      <c r="BN70" s="144">
        <f>+BN68-'3.1 Efnah.'!BN58</f>
        <v>0</v>
      </c>
      <c r="BO70" s="144">
        <f>+BO68-'3.1 Efnah.'!BO58</f>
        <v>0.0010000001639127731</v>
      </c>
      <c r="BP70" s="144">
        <f>+BP68-'3.1 Efnah.'!BP58</f>
        <v>0</v>
      </c>
      <c r="BQ70" s="144">
        <f>+BQ68-'3.1 Efnah.'!BQ58</f>
        <v>0</v>
      </c>
      <c r="BR70" s="30">
        <f>+BR68-'3.1 Efnah.'!BR58</f>
        <v>-0.0009999999310821295</v>
      </c>
      <c r="BS70" s="145">
        <f>+BS68-'3.1 Efnah.'!BS58</f>
        <v>0</v>
      </c>
      <c r="BT70" s="145">
        <f>+BT68-'3.1 Efnah.'!BT58</f>
        <v>0</v>
      </c>
      <c r="BU70" s="145">
        <f>+BU68-'3.1 Efnah.'!BU58</f>
        <v>0</v>
      </c>
      <c r="BV70" s="144">
        <f>+BV68-'3.1 Efnah.'!BV58</f>
        <v>0</v>
      </c>
      <c r="BW70" s="144">
        <f>+BW68-'3.1 Efnah.'!BW58</f>
        <v>0</v>
      </c>
      <c r="BX70" s="144">
        <f>+BX68-'3.1 Efnah.'!BX58</f>
        <v>-0.0010000001639127731</v>
      </c>
      <c r="BY70" s="145">
        <f>+BY68-'3.1 Efnah.'!BY58</f>
        <v>0</v>
      </c>
      <c r="BZ70" s="144">
        <f>+BZ68-'3.1 Efnah.'!BZ58</f>
        <v>0</v>
      </c>
      <c r="CA70" s="145">
        <f>+CA68-'3.1 Efnah.'!CA58</f>
        <v>0</v>
      </c>
      <c r="CB70" s="145">
        <f>+CB68-'3.1 Efnah.'!CB58</f>
        <v>0</v>
      </c>
      <c r="CC70" s="144">
        <f>+CC68-'3.1 Efnah.'!CC58</f>
        <v>0</v>
      </c>
      <c r="CD70" s="144">
        <f>+CD68-'3.1 Efnah.'!CD58</f>
        <v>0</v>
      </c>
      <c r="CE70" s="145">
        <f>+CE68-'3.1 Efnah.'!CE58</f>
        <v>0</v>
      </c>
      <c r="CF70" s="144">
        <f>+CF68-'3.1 Efnah.'!CF58</f>
        <v>0.0020000000949949026</v>
      </c>
      <c r="CG70" s="144">
        <f>+CG68-'3.1 Efnah.'!CG58</f>
        <v>0</v>
      </c>
      <c r="CH70" s="144">
        <f>+CH68-'3.1 Efnah.'!CH58</f>
        <v>-0.4690000001573935</v>
      </c>
      <c r="CI70" s="144">
        <f>+CI68-'3.1 Efnah.'!CI58</f>
        <v>0</v>
      </c>
      <c r="CJ70" s="144">
        <f>+CJ68-'3.1 Efnah.'!CJ58</f>
        <v>0</v>
      </c>
      <c r="CK70" s="144">
        <f>+CK68-'3.1 Efnah.'!CK58</f>
        <v>0</v>
      </c>
      <c r="CL70" s="144">
        <f>+CL68-'3.1 Efnah.'!CL58</f>
        <v>0.7730000000447035</v>
      </c>
      <c r="CM70" s="144">
        <f>+CM68-'3.1 Efnah.'!CM58</f>
        <v>0</v>
      </c>
      <c r="CN70" s="144">
        <f>+CN68-'3.1 Efnah.'!CN58</f>
        <v>-0.0010000000183936208</v>
      </c>
      <c r="CO70" s="144">
        <f>+CO68-'3.1 Efnah.'!CO58</f>
        <v>0</v>
      </c>
      <c r="CP70" s="144">
        <f>+CP68-'3.1 Efnah.'!CP58</f>
        <v>0.003000000011525117</v>
      </c>
      <c r="CQ70" s="145">
        <f>+CQ68-'3.1 Efnah.'!CQ58</f>
        <v>0.0009999999892897904</v>
      </c>
      <c r="CR70" s="30">
        <f>+CR68-'3.1 Efnah.'!CR58</f>
        <v>0</v>
      </c>
      <c r="CS70" s="30">
        <f>+CS68-'3.1 Efnah.'!CS58</f>
        <v>0</v>
      </c>
      <c r="CT70" s="30"/>
      <c r="CV70" s="144">
        <f>+CV68-'3.1 Efnah.'!CV58</f>
        <v>0.3039999008178711</v>
      </c>
      <c r="CX70" s="144">
        <f>+CX68-'3.1 Efnah.'!CX58</f>
        <v>-0.3190000057220459</v>
      </c>
      <c r="CY70" s="144">
        <f>+CY68-'3.1 Efnah.'!CY58</f>
        <v>0.6230000257492065</v>
      </c>
      <c r="DA70" s="30">
        <f t="shared" si="3"/>
        <v>-1.1920928955078125E-07</v>
      </c>
    </row>
    <row r="71" spans="100:103" ht="12" hidden="1">
      <c r="CV71" s="112"/>
      <c r="CW71" s="112"/>
      <c r="CX71" s="112"/>
      <c r="CY71" s="112"/>
    </row>
    <row r="72" spans="4:103" ht="12.75" hidden="1">
      <c r="D72" s="30" t="e">
        <f>+D68-E68-F68-G68-H68-#REF!</f>
        <v>#REF!</v>
      </c>
      <c r="CV72" s="112"/>
      <c r="CW72" s="112"/>
      <c r="CX72" s="112"/>
      <c r="CY72" s="112"/>
    </row>
  </sheetData>
  <sheetProtection/>
  <printOptions/>
  <pageMargins left="0.9448818897637796" right="0.7480314960629921" top="0.8267716535433072" bottom="0" header="0.2362204724409449" footer="0.2362204724409449"/>
  <pageSetup firstPageNumber="27" useFirstPageNumber="1" horizontalDpi="600" verticalDpi="600" orientation="portrait" paperSize="9" scale="95" r:id="rId1"/>
  <headerFooter alignWithMargins="0">
    <oddHeader>&amp;C&amp;"Times New Roman,Bold"&amp;14 3.2. YFIRLIT UM BREYTINGAR Á HREINNI EIGN TIL GREIÐSLU LÍFEYRIS FYRIR ÁRIÐ 2000</oddHeader>
    <oddFooter>&amp;R&amp;"Times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DB72"/>
  <sheetViews>
    <sheetView zoomScalePageLayoutView="0" workbookViewId="0" topLeftCell="A1">
      <pane xSplit="1" ySplit="5" topLeftCell="CN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0" sqref="B10"/>
    </sheetView>
  </sheetViews>
  <sheetFormatPr defaultColWidth="9.00390625" defaultRowHeight="12.75"/>
  <cols>
    <col min="1" max="1" width="26.75390625" style="91" customWidth="1"/>
    <col min="2" max="2" width="9.00390625" style="91" customWidth="1"/>
    <col min="3" max="3" width="7.875" style="92" hidden="1" customWidth="1"/>
    <col min="4" max="4" width="9.00390625" style="91" customWidth="1"/>
    <col min="5" max="9" width="7.875" style="92" customWidth="1"/>
    <col min="10" max="10" width="9.00390625" style="91" customWidth="1"/>
    <col min="11" max="11" width="7.875" style="92" hidden="1" customWidth="1"/>
    <col min="12" max="12" width="9.00390625" style="91" customWidth="1"/>
    <col min="13" max="15" width="7.875" style="92" customWidth="1"/>
    <col min="16" max="16" width="9.00390625" style="91" customWidth="1"/>
    <col min="17" max="17" width="7.875" style="92" customWidth="1"/>
    <col min="18" max="18" width="9.00390625" style="91" customWidth="1"/>
    <col min="19" max="19" width="7.875" style="92" hidden="1" customWidth="1"/>
    <col min="20" max="20" width="9.00390625" style="91" customWidth="1"/>
    <col min="21" max="21" width="7.875" style="92" hidden="1" customWidth="1"/>
    <col min="22" max="22" width="9.00390625" style="91" customWidth="1"/>
    <col min="23" max="24" width="7.875" style="92" hidden="1" customWidth="1"/>
    <col min="25" max="25" width="9.00390625" style="91" customWidth="1"/>
    <col min="26" max="26" width="7.875" style="92" hidden="1" customWidth="1"/>
    <col min="27" max="27" width="9.00390625" style="91" customWidth="1"/>
    <col min="28" max="28" width="7.875" style="92" hidden="1" customWidth="1"/>
    <col min="29" max="30" width="9.00390625" style="91" customWidth="1"/>
    <col min="31" max="31" width="7.875" style="92" customWidth="1"/>
    <col min="32" max="35" width="9.00390625" style="91" customWidth="1"/>
    <col min="36" max="36" width="7.875" style="92" customWidth="1"/>
    <col min="37" max="37" width="9.00390625" style="91" customWidth="1"/>
    <col min="38" max="38" width="7.875" style="92" hidden="1" customWidth="1"/>
    <col min="39" max="39" width="9.00390625" style="91" customWidth="1"/>
    <col min="40" max="40" width="7.875" style="92" hidden="1" customWidth="1"/>
    <col min="41" max="41" width="9.00390625" style="91" customWidth="1"/>
    <col min="42" max="42" width="7.875" style="92" hidden="1" customWidth="1"/>
    <col min="43" max="44" width="9.00390625" style="91" customWidth="1"/>
    <col min="45" max="45" width="7.875" style="92" hidden="1" customWidth="1"/>
    <col min="46" max="46" width="9.00390625" style="91" customWidth="1"/>
    <col min="47" max="47" width="7.875" style="92" hidden="1" customWidth="1"/>
    <col min="48" max="48" width="9.00390625" style="91" customWidth="1"/>
    <col min="49" max="49" width="7.875" style="92" hidden="1" customWidth="1"/>
    <col min="50" max="51" width="9.00390625" style="91" customWidth="1"/>
    <col min="52" max="52" width="7.875" style="92" hidden="1" customWidth="1"/>
    <col min="53" max="54" width="9.00390625" style="91" customWidth="1"/>
    <col min="55" max="55" width="7.875" style="92" hidden="1" customWidth="1"/>
    <col min="56" max="56" width="9.00390625" style="91" customWidth="1"/>
    <col min="57" max="57" width="7.875" style="92" hidden="1" customWidth="1"/>
    <col min="58" max="58" width="9.00390625" style="91" customWidth="1"/>
    <col min="59" max="59" width="7.875" style="92" hidden="1" customWidth="1"/>
    <col min="60" max="60" width="9.00390625" style="91" customWidth="1"/>
    <col min="61" max="61" width="7.875" style="92" hidden="1" customWidth="1"/>
    <col min="62" max="63" width="9.00390625" style="91" customWidth="1"/>
    <col min="64" max="65" width="7.875" style="92" customWidth="1"/>
    <col min="66" max="70" width="9.00390625" style="91" customWidth="1"/>
    <col min="71" max="73" width="7.875" style="92" customWidth="1"/>
    <col min="74" max="76" width="9.00390625" style="91" customWidth="1"/>
    <col min="77" max="77" width="7.875" style="92" hidden="1" customWidth="1"/>
    <col min="78" max="78" width="9.00390625" style="91" customWidth="1"/>
    <col min="79" max="80" width="7.875" style="92" customWidth="1"/>
    <col min="81" max="82" width="9.00390625" style="91" customWidth="1"/>
    <col min="83" max="83" width="7.875" style="92" hidden="1" customWidth="1"/>
    <col min="84" max="94" width="9.00390625" style="91" customWidth="1"/>
    <col min="95" max="95" width="7.875" style="92" hidden="1" customWidth="1"/>
    <col min="96" max="97" width="9.00390625" style="91" customWidth="1"/>
    <col min="98" max="98" width="7.375" style="91" customWidth="1"/>
    <col min="99" max="99" width="0.12890625" style="91" customWidth="1"/>
    <col min="100" max="100" width="9.75390625" style="91" customWidth="1"/>
    <col min="101" max="101" width="1.75390625" style="91" customWidth="1"/>
    <col min="102" max="102" width="9.75390625" style="91" customWidth="1"/>
    <col min="103" max="103" width="10.25390625" style="91" customWidth="1"/>
    <col min="104" max="104" width="2.875" style="91" hidden="1" customWidth="1"/>
    <col min="105" max="105" width="0" style="91" hidden="1" customWidth="1"/>
    <col min="106" max="16384" width="9.00390625" style="91" customWidth="1"/>
  </cols>
  <sheetData>
    <row r="1" spans="1:104" ht="12.75">
      <c r="A1" s="46"/>
      <c r="B1" s="88" t="s">
        <v>0</v>
      </c>
      <c r="C1" s="89" t="s">
        <v>0</v>
      </c>
      <c r="D1" s="88" t="s">
        <v>0</v>
      </c>
      <c r="E1" s="89" t="s">
        <v>0</v>
      </c>
      <c r="F1" s="89" t="s">
        <v>0</v>
      </c>
      <c r="G1" s="89" t="s">
        <v>0</v>
      </c>
      <c r="H1" s="89" t="s">
        <v>0</v>
      </c>
      <c r="I1" s="89" t="s">
        <v>0</v>
      </c>
      <c r="J1" s="88" t="s">
        <v>0</v>
      </c>
      <c r="K1" s="89" t="s">
        <v>0</v>
      </c>
      <c r="L1" s="88" t="s">
        <v>1</v>
      </c>
      <c r="M1" s="89" t="s">
        <v>1</v>
      </c>
      <c r="N1" s="89" t="s">
        <v>1</v>
      </c>
      <c r="O1" s="89" t="s">
        <v>1</v>
      </c>
      <c r="P1" s="88" t="s">
        <v>0</v>
      </c>
      <c r="Q1" s="89" t="s">
        <v>0</v>
      </c>
      <c r="R1" s="88" t="s">
        <v>0</v>
      </c>
      <c r="S1" s="89"/>
      <c r="T1" s="88" t="s">
        <v>2</v>
      </c>
      <c r="U1" s="89"/>
      <c r="V1" s="88" t="s">
        <v>0</v>
      </c>
      <c r="W1" s="89" t="s">
        <v>0</v>
      </c>
      <c r="X1" s="89" t="s">
        <v>0</v>
      </c>
      <c r="Y1" s="88" t="s">
        <v>0</v>
      </c>
      <c r="Z1" s="89"/>
      <c r="AA1" s="88" t="s">
        <v>3</v>
      </c>
      <c r="AB1" s="89"/>
      <c r="AC1" s="88" t="s">
        <v>0</v>
      </c>
      <c r="AD1" s="88" t="s">
        <v>0</v>
      </c>
      <c r="AE1" s="89" t="s">
        <v>0</v>
      </c>
      <c r="AF1" s="88" t="s">
        <v>0</v>
      </c>
      <c r="AG1" s="88" t="s">
        <v>0</v>
      </c>
      <c r="AH1" s="88" t="s">
        <v>0</v>
      </c>
      <c r="AI1" s="88" t="s">
        <v>0</v>
      </c>
      <c r="AJ1" s="148" t="s">
        <v>0</v>
      </c>
      <c r="AK1" s="88" t="s">
        <v>0</v>
      </c>
      <c r="AL1" s="89"/>
      <c r="AM1" s="88" t="s">
        <v>5</v>
      </c>
      <c r="AN1" s="89"/>
      <c r="AO1" s="88" t="s">
        <v>7</v>
      </c>
      <c r="AP1" s="89"/>
      <c r="AQ1" s="88" t="s">
        <v>0</v>
      </c>
      <c r="AR1" s="88" t="s">
        <v>0</v>
      </c>
      <c r="AS1" s="89"/>
      <c r="AT1" s="88" t="s">
        <v>303</v>
      </c>
      <c r="AU1" s="89"/>
      <c r="AV1" s="88" t="s">
        <v>6</v>
      </c>
      <c r="AW1" s="89"/>
      <c r="AX1" s="88" t="s">
        <v>0</v>
      </c>
      <c r="AY1" s="88" t="s">
        <v>0</v>
      </c>
      <c r="AZ1" s="89"/>
      <c r="BA1" s="88" t="s">
        <v>0</v>
      </c>
      <c r="BB1" s="88" t="s">
        <v>8</v>
      </c>
      <c r="BC1" s="89"/>
      <c r="BD1" s="88" t="s">
        <v>0</v>
      </c>
      <c r="BE1" s="89"/>
      <c r="BF1" s="88" t="s">
        <v>6</v>
      </c>
      <c r="BG1" s="89"/>
      <c r="BH1" s="88" t="s">
        <v>0</v>
      </c>
      <c r="BI1" s="89"/>
      <c r="BJ1" s="88" t="s">
        <v>0</v>
      </c>
      <c r="BK1" s="88" t="s">
        <v>0</v>
      </c>
      <c r="BL1" s="89" t="s">
        <v>0</v>
      </c>
      <c r="BM1" s="89" t="s">
        <v>0</v>
      </c>
      <c r="BN1" s="88" t="s">
        <v>4</v>
      </c>
      <c r="BO1" s="88" t="s">
        <v>0</v>
      </c>
      <c r="BP1" s="88" t="s">
        <v>0</v>
      </c>
      <c r="BQ1" s="88" t="s">
        <v>0</v>
      </c>
      <c r="BR1" s="88" t="s">
        <v>0</v>
      </c>
      <c r="BS1" s="89" t="s">
        <v>0</v>
      </c>
      <c r="BT1" s="89" t="s">
        <v>0</v>
      </c>
      <c r="BU1" s="89" t="s">
        <v>0</v>
      </c>
      <c r="BV1" s="88" t="s">
        <v>4</v>
      </c>
      <c r="BW1" s="88" t="s">
        <v>0</v>
      </c>
      <c r="BX1" s="88" t="s">
        <v>50</v>
      </c>
      <c r="BY1" s="89"/>
      <c r="BZ1" s="88" t="s">
        <v>4</v>
      </c>
      <c r="CA1" s="89" t="s">
        <v>4</v>
      </c>
      <c r="CB1" s="89" t="s">
        <v>4</v>
      </c>
      <c r="CC1" s="88" t="s">
        <v>0</v>
      </c>
      <c r="CD1" s="88" t="s">
        <v>0</v>
      </c>
      <c r="CE1" s="89"/>
      <c r="CF1" s="88" t="s">
        <v>0</v>
      </c>
      <c r="CG1" s="88" t="s">
        <v>0</v>
      </c>
      <c r="CH1" s="88" t="s">
        <v>4</v>
      </c>
      <c r="CI1" s="88" t="s">
        <v>4</v>
      </c>
      <c r="CJ1" s="88" t="s">
        <v>4</v>
      </c>
      <c r="CK1" s="88" t="s">
        <v>0</v>
      </c>
      <c r="CL1" s="88" t="s">
        <v>6</v>
      </c>
      <c r="CM1" s="88" t="s">
        <v>0</v>
      </c>
      <c r="CN1" s="88" t="s">
        <v>0</v>
      </c>
      <c r="CO1" s="88" t="s">
        <v>4</v>
      </c>
      <c r="CP1" s="88" t="s">
        <v>9</v>
      </c>
      <c r="CQ1" s="89"/>
      <c r="CR1" s="88" t="s">
        <v>0</v>
      </c>
      <c r="CS1" s="88" t="s">
        <v>0</v>
      </c>
      <c r="CT1" s="88"/>
      <c r="CV1" s="90" t="s">
        <v>10</v>
      </c>
      <c r="CW1" s="90"/>
      <c r="CX1" s="90" t="s">
        <v>0</v>
      </c>
      <c r="CY1" s="90" t="s">
        <v>0</v>
      </c>
      <c r="CZ1" s="90"/>
    </row>
    <row r="2" spans="1:104" ht="12.75">
      <c r="A2" s="104" t="s">
        <v>11</v>
      </c>
      <c r="B2" s="88" t="s">
        <v>12</v>
      </c>
      <c r="C2" s="89" t="s">
        <v>12</v>
      </c>
      <c r="D2" s="88" t="s">
        <v>413</v>
      </c>
      <c r="E2" s="89" t="s">
        <v>413</v>
      </c>
      <c r="F2" s="89" t="s">
        <v>413</v>
      </c>
      <c r="G2" s="89" t="s">
        <v>413</v>
      </c>
      <c r="H2" s="89" t="s">
        <v>413</v>
      </c>
      <c r="I2" s="89" t="s">
        <v>413</v>
      </c>
      <c r="J2" s="88" t="s">
        <v>16</v>
      </c>
      <c r="K2" s="89" t="s">
        <v>16</v>
      </c>
      <c r="L2" s="88" t="s">
        <v>15</v>
      </c>
      <c r="M2" s="89" t="s">
        <v>15</v>
      </c>
      <c r="N2" s="89" t="s">
        <v>15</v>
      </c>
      <c r="O2" s="89" t="s">
        <v>15</v>
      </c>
      <c r="P2" s="88" t="s">
        <v>13</v>
      </c>
      <c r="Q2" s="89" t="s">
        <v>13</v>
      </c>
      <c r="R2" s="88" t="s">
        <v>17</v>
      </c>
      <c r="S2" s="89"/>
      <c r="T2" s="88" t="s">
        <v>15</v>
      </c>
      <c r="U2" s="89"/>
      <c r="V2" s="88" t="s">
        <v>311</v>
      </c>
      <c r="W2" s="89" t="s">
        <v>311</v>
      </c>
      <c r="X2" s="89" t="s">
        <v>311</v>
      </c>
      <c r="Y2" s="88" t="s">
        <v>268</v>
      </c>
      <c r="Z2" s="89"/>
      <c r="AA2" s="88" t="s">
        <v>15</v>
      </c>
      <c r="AB2" s="89"/>
      <c r="AC2" s="88" t="s">
        <v>19</v>
      </c>
      <c r="AD2" s="88" t="s">
        <v>20</v>
      </c>
      <c r="AE2" s="89" t="s">
        <v>20</v>
      </c>
      <c r="AF2" s="88" t="s">
        <v>22</v>
      </c>
      <c r="AG2" s="88" t="s">
        <v>18</v>
      </c>
      <c r="AH2" s="88" t="s">
        <v>21</v>
      </c>
      <c r="AI2" s="88" t="s">
        <v>322</v>
      </c>
      <c r="AJ2" s="148" t="s">
        <v>322</v>
      </c>
      <c r="AK2" s="88" t="s">
        <v>23</v>
      </c>
      <c r="AL2" s="89"/>
      <c r="AM2" s="88" t="s">
        <v>15</v>
      </c>
      <c r="AN2" s="89"/>
      <c r="AO2" s="88" t="s">
        <v>30</v>
      </c>
      <c r="AP2" s="89"/>
      <c r="AQ2" s="88" t="s">
        <v>25</v>
      </c>
      <c r="AR2" s="88" t="s">
        <v>24</v>
      </c>
      <c r="AS2" s="89"/>
      <c r="AT2" s="88" t="s">
        <v>46</v>
      </c>
      <c r="AU2" s="89"/>
      <c r="AV2" s="88" t="s">
        <v>29</v>
      </c>
      <c r="AW2" s="89"/>
      <c r="AX2" s="88" t="s">
        <v>14</v>
      </c>
      <c r="AY2" s="88" t="s">
        <v>313</v>
      </c>
      <c r="AZ2" s="89"/>
      <c r="BA2" s="88" t="s">
        <v>71</v>
      </c>
      <c r="BB2" s="88" t="s">
        <v>15</v>
      </c>
      <c r="BC2" s="89"/>
      <c r="BD2" s="88" t="s">
        <v>26</v>
      </c>
      <c r="BE2" s="89"/>
      <c r="BF2" s="88" t="s">
        <v>29</v>
      </c>
      <c r="BG2" s="89"/>
      <c r="BH2" s="88" t="s">
        <v>27</v>
      </c>
      <c r="BI2" s="89"/>
      <c r="BJ2" s="88" t="s">
        <v>14</v>
      </c>
      <c r="BK2" s="88" t="s">
        <v>28</v>
      </c>
      <c r="BL2" s="89" t="s">
        <v>28</v>
      </c>
      <c r="BM2" s="89" t="s">
        <v>28</v>
      </c>
      <c r="BN2" s="88" t="s">
        <v>14</v>
      </c>
      <c r="BO2" s="88" t="s">
        <v>31</v>
      </c>
      <c r="BP2" s="88" t="s">
        <v>32</v>
      </c>
      <c r="BQ2" s="88" t="s">
        <v>33</v>
      </c>
      <c r="BR2" s="88" t="s">
        <v>14</v>
      </c>
      <c r="BS2" s="89" t="s">
        <v>14</v>
      </c>
      <c r="BT2" s="89" t="s">
        <v>14</v>
      </c>
      <c r="BU2" s="89" t="s">
        <v>14</v>
      </c>
      <c r="BV2" s="88" t="s">
        <v>34</v>
      </c>
      <c r="BW2" s="88" t="s">
        <v>36</v>
      </c>
      <c r="BX2" s="88" t="s">
        <v>15</v>
      </c>
      <c r="BY2" s="89"/>
      <c r="BZ2" s="88" t="s">
        <v>37</v>
      </c>
      <c r="CA2" s="89" t="s">
        <v>37</v>
      </c>
      <c r="CB2" s="89" t="s">
        <v>37</v>
      </c>
      <c r="CC2" s="88" t="s">
        <v>35</v>
      </c>
      <c r="CD2" s="88" t="s">
        <v>39</v>
      </c>
      <c r="CE2" s="89"/>
      <c r="CF2" s="88" t="s">
        <v>38</v>
      </c>
      <c r="CG2" s="88" t="s">
        <v>41</v>
      </c>
      <c r="CH2" s="88" t="s">
        <v>40</v>
      </c>
      <c r="CI2" s="88" t="s">
        <v>42</v>
      </c>
      <c r="CJ2" s="88" t="s">
        <v>298</v>
      </c>
      <c r="CK2" s="88" t="s">
        <v>14</v>
      </c>
      <c r="CL2" s="88" t="s">
        <v>29</v>
      </c>
      <c r="CM2" s="88" t="s">
        <v>43</v>
      </c>
      <c r="CN2" s="88" t="s">
        <v>45</v>
      </c>
      <c r="CO2" s="88" t="s">
        <v>44</v>
      </c>
      <c r="CP2" s="88" t="s">
        <v>46</v>
      </c>
      <c r="CQ2" s="89"/>
      <c r="CR2" s="88" t="s">
        <v>47</v>
      </c>
      <c r="CS2" s="88" t="s">
        <v>48</v>
      </c>
      <c r="CT2" s="88"/>
      <c r="CV2" s="90" t="s">
        <v>49</v>
      </c>
      <c r="CW2" s="90"/>
      <c r="CX2" s="90" t="s">
        <v>310</v>
      </c>
      <c r="CY2" s="90" t="s">
        <v>349</v>
      </c>
      <c r="CZ2" s="90"/>
    </row>
    <row r="3" spans="1:104" ht="12.75">
      <c r="A3" s="46"/>
      <c r="B3" s="88" t="s">
        <v>51</v>
      </c>
      <c r="C3" s="89" t="s">
        <v>51</v>
      </c>
      <c r="D3" s="88" t="s">
        <v>424</v>
      </c>
      <c r="E3" s="89" t="s">
        <v>135</v>
      </c>
      <c r="F3" s="89" t="s">
        <v>135</v>
      </c>
      <c r="G3" s="149" t="s">
        <v>416</v>
      </c>
      <c r="H3" s="149" t="s">
        <v>418</v>
      </c>
      <c r="I3" s="96" t="s">
        <v>436</v>
      </c>
      <c r="J3" s="88" t="s">
        <v>135</v>
      </c>
      <c r="K3" s="96" t="s">
        <v>436</v>
      </c>
      <c r="L3" s="88" t="s">
        <v>29</v>
      </c>
      <c r="M3" s="89" t="s">
        <v>29</v>
      </c>
      <c r="N3" s="89" t="s">
        <v>29</v>
      </c>
      <c r="O3" s="89" t="s">
        <v>29</v>
      </c>
      <c r="P3" s="88" t="s">
        <v>135</v>
      </c>
      <c r="Q3" s="96" t="s">
        <v>436</v>
      </c>
      <c r="R3" s="88" t="s">
        <v>53</v>
      </c>
      <c r="S3" s="96"/>
      <c r="T3" s="88" t="s">
        <v>52</v>
      </c>
      <c r="U3" s="96"/>
      <c r="V3" s="88" t="s">
        <v>66</v>
      </c>
      <c r="W3" s="96" t="s">
        <v>66</v>
      </c>
      <c r="X3" s="96" t="s">
        <v>66</v>
      </c>
      <c r="Y3" s="88" t="s">
        <v>135</v>
      </c>
      <c r="Z3" s="96"/>
      <c r="AA3" s="88" t="s">
        <v>29</v>
      </c>
      <c r="AB3" s="96"/>
      <c r="AC3" s="88" t="s">
        <v>53</v>
      </c>
      <c r="AD3" s="88" t="s">
        <v>54</v>
      </c>
      <c r="AE3" s="89" t="s">
        <v>54</v>
      </c>
      <c r="AF3" s="88" t="s">
        <v>135</v>
      </c>
      <c r="AG3" s="88" t="s">
        <v>135</v>
      </c>
      <c r="AH3" s="88" t="s">
        <v>55</v>
      </c>
      <c r="AI3" s="88" t="s">
        <v>321</v>
      </c>
      <c r="AJ3" s="148" t="s">
        <v>321</v>
      </c>
      <c r="AK3" s="88" t="s">
        <v>300</v>
      </c>
      <c r="AL3" s="96"/>
      <c r="AM3" s="88" t="s">
        <v>29</v>
      </c>
      <c r="AN3" s="96"/>
      <c r="AO3" s="88" t="s">
        <v>62</v>
      </c>
      <c r="AP3" s="96"/>
      <c r="AQ3" s="88" t="s">
        <v>203</v>
      </c>
      <c r="AR3" s="88" t="s">
        <v>53</v>
      </c>
      <c r="AS3" s="96"/>
      <c r="AT3" s="88" t="s">
        <v>304</v>
      </c>
      <c r="AU3" s="96"/>
      <c r="AV3" s="88" t="s">
        <v>77</v>
      </c>
      <c r="AW3" s="96"/>
      <c r="AX3" s="88" t="s">
        <v>323</v>
      </c>
      <c r="AY3" s="88" t="s">
        <v>314</v>
      </c>
      <c r="AZ3" s="96"/>
      <c r="BA3" s="88"/>
      <c r="BB3" s="88" t="s">
        <v>73</v>
      </c>
      <c r="BC3" s="96"/>
      <c r="BD3" s="88" t="s">
        <v>57</v>
      </c>
      <c r="BE3" s="96"/>
      <c r="BF3" s="88" t="s">
        <v>61</v>
      </c>
      <c r="BG3" s="96"/>
      <c r="BH3" s="88"/>
      <c r="BI3" s="96"/>
      <c r="BJ3" s="88" t="s">
        <v>58</v>
      </c>
      <c r="BK3" s="88" t="s">
        <v>59</v>
      </c>
      <c r="BL3" s="150" t="s">
        <v>59</v>
      </c>
      <c r="BM3" s="150" t="s">
        <v>59</v>
      </c>
      <c r="BN3" s="88" t="s">
        <v>60</v>
      </c>
      <c r="BO3" s="88" t="s">
        <v>63</v>
      </c>
      <c r="BP3" s="88" t="s">
        <v>64</v>
      </c>
      <c r="BQ3" s="88"/>
      <c r="BR3" s="88" t="s">
        <v>315</v>
      </c>
      <c r="BS3" s="150" t="s">
        <v>315</v>
      </c>
      <c r="BT3" s="150" t="s">
        <v>315</v>
      </c>
      <c r="BU3" s="150" t="s">
        <v>315</v>
      </c>
      <c r="BV3" s="88" t="s">
        <v>65</v>
      </c>
      <c r="BW3" s="88" t="s">
        <v>68</v>
      </c>
      <c r="BX3" s="88" t="s">
        <v>29</v>
      </c>
      <c r="BY3" s="96"/>
      <c r="BZ3" s="88" t="s">
        <v>318</v>
      </c>
      <c r="CA3" s="150" t="s">
        <v>318</v>
      </c>
      <c r="CB3" s="150" t="s">
        <v>318</v>
      </c>
      <c r="CC3" s="88" t="s">
        <v>67</v>
      </c>
      <c r="CD3" s="88" t="s">
        <v>56</v>
      </c>
      <c r="CE3" s="96"/>
      <c r="CF3" s="88" t="s">
        <v>70</v>
      </c>
      <c r="CG3" s="88" t="s">
        <v>69</v>
      </c>
      <c r="CH3" s="88" t="s">
        <v>71</v>
      </c>
      <c r="CI3" s="88" t="s">
        <v>72</v>
      </c>
      <c r="CJ3" s="88" t="s">
        <v>76</v>
      </c>
      <c r="CK3" s="88" t="s">
        <v>74</v>
      </c>
      <c r="CL3" s="88" t="s">
        <v>75</v>
      </c>
      <c r="CM3" s="88" t="s">
        <v>78</v>
      </c>
      <c r="CN3" s="88" t="s">
        <v>80</v>
      </c>
      <c r="CO3" s="88" t="s">
        <v>79</v>
      </c>
      <c r="CP3" s="88" t="s">
        <v>81</v>
      </c>
      <c r="CQ3" s="96"/>
      <c r="CR3" s="88" t="s">
        <v>82</v>
      </c>
      <c r="CS3" s="88" t="s">
        <v>83</v>
      </c>
      <c r="CT3" s="88"/>
      <c r="CV3" s="90" t="s">
        <v>84</v>
      </c>
      <c r="CW3" s="90"/>
      <c r="CX3" s="90" t="s">
        <v>309</v>
      </c>
      <c r="CY3" s="90" t="s">
        <v>309</v>
      </c>
      <c r="CZ3" s="90"/>
    </row>
    <row r="4" spans="1:103" ht="12.75">
      <c r="A4" s="94"/>
      <c r="B4" s="95" t="s">
        <v>85</v>
      </c>
      <c r="C4" s="96" t="s">
        <v>436</v>
      </c>
      <c r="D4" s="95" t="s">
        <v>86</v>
      </c>
      <c r="E4" s="96" t="s">
        <v>414</v>
      </c>
      <c r="F4" s="96" t="s">
        <v>415</v>
      </c>
      <c r="G4" s="96" t="s">
        <v>417</v>
      </c>
      <c r="H4" s="96" t="s">
        <v>419</v>
      </c>
      <c r="I4" s="96" t="s">
        <v>419</v>
      </c>
      <c r="J4" s="95" t="s">
        <v>87</v>
      </c>
      <c r="K4" s="96" t="s">
        <v>419</v>
      </c>
      <c r="L4" s="95" t="s">
        <v>88</v>
      </c>
      <c r="M4" s="96" t="s">
        <v>426</v>
      </c>
      <c r="N4" s="96" t="s">
        <v>438</v>
      </c>
      <c r="O4" s="96" t="s">
        <v>436</v>
      </c>
      <c r="P4" s="95" t="s">
        <v>89</v>
      </c>
      <c r="Q4" s="96" t="s">
        <v>419</v>
      </c>
      <c r="R4" s="95" t="s">
        <v>90</v>
      </c>
      <c r="S4" s="96"/>
      <c r="T4" s="95" t="s">
        <v>91</v>
      </c>
      <c r="U4" s="96"/>
      <c r="V4" s="95" t="s">
        <v>92</v>
      </c>
      <c r="W4" s="96" t="s">
        <v>383</v>
      </c>
      <c r="X4" s="96" t="s">
        <v>442</v>
      </c>
      <c r="Y4" s="95" t="s">
        <v>199</v>
      </c>
      <c r="Z4" s="96"/>
      <c r="AA4" s="95" t="s">
        <v>200</v>
      </c>
      <c r="AB4" s="96"/>
      <c r="AC4" s="95" t="s">
        <v>201</v>
      </c>
      <c r="AD4" s="95" t="s">
        <v>93</v>
      </c>
      <c r="AE4" s="96" t="s">
        <v>436</v>
      </c>
      <c r="AF4" s="95" t="s">
        <v>94</v>
      </c>
      <c r="AG4" s="95" t="s">
        <v>95</v>
      </c>
      <c r="AH4" s="95" t="s">
        <v>96</v>
      </c>
      <c r="AI4" s="95" t="s">
        <v>97</v>
      </c>
      <c r="AJ4" s="96" t="s">
        <v>436</v>
      </c>
      <c r="AK4" s="95" t="s">
        <v>98</v>
      </c>
      <c r="AL4" s="96"/>
      <c r="AM4" s="95" t="s">
        <v>99</v>
      </c>
      <c r="AN4" s="96"/>
      <c r="AO4" s="95" t="s">
        <v>100</v>
      </c>
      <c r="AP4" s="96"/>
      <c r="AQ4" s="95" t="s">
        <v>101</v>
      </c>
      <c r="AR4" s="95" t="s">
        <v>102</v>
      </c>
      <c r="AS4" s="96"/>
      <c r="AT4" s="95" t="s">
        <v>103</v>
      </c>
      <c r="AU4" s="96"/>
      <c r="AV4" s="95" t="s">
        <v>104</v>
      </c>
      <c r="AW4" s="96"/>
      <c r="AX4" s="95" t="s">
        <v>105</v>
      </c>
      <c r="AY4" s="95" t="s">
        <v>106</v>
      </c>
      <c r="AZ4" s="96"/>
      <c r="BA4" s="95" t="s">
        <v>361</v>
      </c>
      <c r="BB4" s="95" t="s">
        <v>107</v>
      </c>
      <c r="BC4" s="96"/>
      <c r="BD4" s="95" t="s">
        <v>108</v>
      </c>
      <c r="BE4" s="96"/>
      <c r="BF4" s="95" t="s">
        <v>109</v>
      </c>
      <c r="BG4" s="96"/>
      <c r="BH4" s="95" t="s">
        <v>110</v>
      </c>
      <c r="BI4" s="96"/>
      <c r="BJ4" s="95" t="s">
        <v>111</v>
      </c>
      <c r="BK4" s="95" t="s">
        <v>112</v>
      </c>
      <c r="BL4" s="96" t="s">
        <v>445</v>
      </c>
      <c r="BM4" s="96" t="s">
        <v>446</v>
      </c>
      <c r="BN4" s="95" t="s">
        <v>113</v>
      </c>
      <c r="BO4" s="95" t="s">
        <v>114</v>
      </c>
      <c r="BP4" s="95" t="s">
        <v>115</v>
      </c>
      <c r="BQ4" s="95" t="s">
        <v>116</v>
      </c>
      <c r="BR4" s="95" t="s">
        <v>430</v>
      </c>
      <c r="BS4" s="96" t="s">
        <v>415</v>
      </c>
      <c r="BT4" s="96" t="s">
        <v>441</v>
      </c>
      <c r="BU4" s="96" t="s">
        <v>436</v>
      </c>
      <c r="BV4" s="95" t="s">
        <v>117</v>
      </c>
      <c r="BW4" s="95" t="s">
        <v>118</v>
      </c>
      <c r="BX4" s="95" t="s">
        <v>119</v>
      </c>
      <c r="BY4" s="96"/>
      <c r="BZ4" s="95" t="s">
        <v>120</v>
      </c>
      <c r="CA4" s="96" t="s">
        <v>415</v>
      </c>
      <c r="CB4" s="96" t="s">
        <v>414</v>
      </c>
      <c r="CC4" s="95" t="s">
        <v>121</v>
      </c>
      <c r="CD4" s="95" t="s">
        <v>122</v>
      </c>
      <c r="CE4" s="96"/>
      <c r="CF4" s="95" t="s">
        <v>123</v>
      </c>
      <c r="CG4" s="95" t="s">
        <v>431</v>
      </c>
      <c r="CH4" s="95" t="s">
        <v>124</v>
      </c>
      <c r="CI4" s="95" t="s">
        <v>125</v>
      </c>
      <c r="CJ4" s="95" t="s">
        <v>126</v>
      </c>
      <c r="CK4" s="95" t="s">
        <v>127</v>
      </c>
      <c r="CL4" s="95" t="s">
        <v>128</v>
      </c>
      <c r="CM4" s="95" t="s">
        <v>129</v>
      </c>
      <c r="CN4" s="95" t="s">
        <v>130</v>
      </c>
      <c r="CO4" s="95" t="s">
        <v>205</v>
      </c>
      <c r="CP4" s="95" t="s">
        <v>432</v>
      </c>
      <c r="CQ4" s="96"/>
      <c r="CR4" s="95" t="s">
        <v>131</v>
      </c>
      <c r="CS4" s="95" t="s">
        <v>132</v>
      </c>
      <c r="CT4" s="95"/>
      <c r="CV4" s="97"/>
      <c r="CW4" s="97"/>
      <c r="CX4" s="97" t="s">
        <v>378</v>
      </c>
      <c r="CY4" s="97" t="s">
        <v>443</v>
      </c>
    </row>
    <row r="5" spans="1:104" ht="12.75">
      <c r="A5" s="98" t="s">
        <v>248</v>
      </c>
      <c r="B5" s="46"/>
      <c r="C5" s="96" t="s">
        <v>419</v>
      </c>
      <c r="D5" s="46"/>
      <c r="E5" s="96"/>
      <c r="F5" s="96"/>
      <c r="G5" s="96"/>
      <c r="H5" s="96"/>
      <c r="I5" s="96"/>
      <c r="J5" s="46"/>
      <c r="K5" s="96"/>
      <c r="L5" s="56"/>
      <c r="M5" s="96"/>
      <c r="N5" s="96" t="s">
        <v>419</v>
      </c>
      <c r="O5" s="96" t="s">
        <v>419</v>
      </c>
      <c r="P5" s="46"/>
      <c r="Q5" s="96"/>
      <c r="R5" s="46"/>
      <c r="S5" s="96"/>
      <c r="T5" s="46"/>
      <c r="U5" s="96"/>
      <c r="V5" s="56"/>
      <c r="W5" s="96" t="s">
        <v>419</v>
      </c>
      <c r="X5" s="96" t="s">
        <v>419</v>
      </c>
      <c r="Y5" s="56"/>
      <c r="Z5" s="96"/>
      <c r="AA5" s="46"/>
      <c r="AB5" s="96"/>
      <c r="AC5" s="56"/>
      <c r="AD5" s="56"/>
      <c r="AE5" s="96" t="s">
        <v>419</v>
      </c>
      <c r="AF5" s="56"/>
      <c r="AG5" s="46"/>
      <c r="AH5" s="56"/>
      <c r="AI5" s="56"/>
      <c r="AJ5" s="96" t="s">
        <v>419</v>
      </c>
      <c r="AK5" s="56"/>
      <c r="AL5" s="96"/>
      <c r="AM5" s="56"/>
      <c r="AN5" s="96"/>
      <c r="AO5" s="56"/>
      <c r="AP5" s="96"/>
      <c r="AQ5" s="56"/>
      <c r="AR5" s="56"/>
      <c r="AS5" s="96"/>
      <c r="AT5" s="56"/>
      <c r="AU5" s="96"/>
      <c r="AV5" s="56"/>
      <c r="AW5" s="96"/>
      <c r="AX5" s="56"/>
      <c r="AY5" s="56"/>
      <c r="AZ5" s="96"/>
      <c r="BA5" s="56"/>
      <c r="BB5" s="56"/>
      <c r="BC5" s="96"/>
      <c r="BD5" s="56"/>
      <c r="BE5" s="96"/>
      <c r="BF5" s="56"/>
      <c r="BG5" s="96"/>
      <c r="BH5" s="56"/>
      <c r="BI5" s="96"/>
      <c r="BJ5" s="56"/>
      <c r="BK5" s="56"/>
      <c r="BL5" s="96"/>
      <c r="BM5" s="96"/>
      <c r="BN5" s="56"/>
      <c r="BO5" s="56"/>
      <c r="BP5" s="56"/>
      <c r="BQ5" s="56"/>
      <c r="BR5" s="56"/>
      <c r="BS5" s="96"/>
      <c r="BT5" s="96"/>
      <c r="BU5" s="96" t="s">
        <v>419</v>
      </c>
      <c r="BV5" s="56"/>
      <c r="BW5" s="56"/>
      <c r="BX5" s="56"/>
      <c r="BY5" s="96"/>
      <c r="BZ5" s="56"/>
      <c r="CA5" s="96"/>
      <c r="CB5" s="96"/>
      <c r="CC5" s="56"/>
      <c r="CD5" s="56"/>
      <c r="CE5" s="9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96"/>
      <c r="CR5" s="56"/>
      <c r="CS5" s="56"/>
      <c r="CT5" s="56"/>
      <c r="CV5" s="101"/>
      <c r="CW5" s="101"/>
      <c r="CX5" s="101"/>
      <c r="CY5" s="101"/>
      <c r="CZ5" s="101"/>
    </row>
    <row r="6" spans="1:105" ht="12.75">
      <c r="A6" s="104" t="s">
        <v>249</v>
      </c>
      <c r="B6" s="133">
        <f>5467569.291+201020.567</f>
        <v>5668589.858</v>
      </c>
      <c r="C6" s="138"/>
      <c r="D6" s="133">
        <v>17513449</v>
      </c>
      <c r="E6" s="138">
        <v>12834164</v>
      </c>
      <c r="F6" s="138">
        <v>4164311</v>
      </c>
      <c r="G6" s="138">
        <v>212694</v>
      </c>
      <c r="H6" s="138">
        <v>32067</v>
      </c>
      <c r="I6" s="138">
        <v>270211</v>
      </c>
      <c r="J6" s="133">
        <v>2305642.38</v>
      </c>
      <c r="K6" s="138"/>
      <c r="L6" s="133">
        <v>2148865.121</v>
      </c>
      <c r="M6" s="138">
        <v>2039627.316</v>
      </c>
      <c r="N6" s="138">
        <v>91538.393</v>
      </c>
      <c r="O6" s="138">
        <v>17699.412</v>
      </c>
      <c r="P6" s="133">
        <v>1678244.469</v>
      </c>
      <c r="Q6" s="138">
        <v>2714.301</v>
      </c>
      <c r="R6" s="133">
        <v>939162.714</v>
      </c>
      <c r="S6" s="138"/>
      <c r="T6" s="133">
        <v>855758.516</v>
      </c>
      <c r="U6" s="138"/>
      <c r="V6" s="133">
        <v>650025.931</v>
      </c>
      <c r="W6" s="138"/>
      <c r="X6" s="138"/>
      <c r="Y6" s="133">
        <v>1025647.612</v>
      </c>
      <c r="Z6" s="138"/>
      <c r="AA6" s="133">
        <v>766650.249</v>
      </c>
      <c r="AB6" s="138"/>
      <c r="AC6" s="133">
        <v>709688.94</v>
      </c>
      <c r="AD6" s="133">
        <v>438556.099</v>
      </c>
      <c r="AE6" s="138"/>
      <c r="AF6" s="133">
        <v>557005</v>
      </c>
      <c r="AG6" s="133">
        <v>338932.881</v>
      </c>
      <c r="AH6" s="133">
        <v>642711.648</v>
      </c>
      <c r="AI6" s="133">
        <v>862026.55</v>
      </c>
      <c r="AJ6" s="138">
        <v>52333.729</v>
      </c>
      <c r="AK6" s="133">
        <v>382339.808</v>
      </c>
      <c r="AL6" s="138"/>
      <c r="AM6" s="133">
        <v>1242464.002</v>
      </c>
      <c r="AN6" s="138"/>
      <c r="AO6" s="133">
        <v>1906219.107</v>
      </c>
      <c r="AP6" s="138"/>
      <c r="AQ6" s="133">
        <v>1270804.225</v>
      </c>
      <c r="AR6" s="133">
        <v>410618.152</v>
      </c>
      <c r="AS6" s="138"/>
      <c r="AT6" s="133">
        <v>352518.342</v>
      </c>
      <c r="AU6" s="138"/>
      <c r="AV6" s="133">
        <v>1310014</v>
      </c>
      <c r="AW6" s="138"/>
      <c r="AX6" s="133">
        <v>108723.282</v>
      </c>
      <c r="AY6" s="133">
        <v>469206.302</v>
      </c>
      <c r="AZ6" s="138"/>
      <c r="BA6" s="133">
        <v>275660.922</v>
      </c>
      <c r="BB6" s="133">
        <v>783285.047</v>
      </c>
      <c r="BC6" s="138"/>
      <c r="BD6" s="133">
        <v>175764.417</v>
      </c>
      <c r="BE6" s="138"/>
      <c r="BF6" s="133">
        <f>135359.478+29196.823</f>
        <v>164556.301</v>
      </c>
      <c r="BG6" s="138"/>
      <c r="BH6" s="133">
        <f>97051.01+18546.936+20661.032</f>
        <v>136258.978</v>
      </c>
      <c r="BI6" s="138"/>
      <c r="BJ6" s="133">
        <v>830913.075</v>
      </c>
      <c r="BK6" s="133">
        <v>21997.357</v>
      </c>
      <c r="BL6" s="138">
        <v>0</v>
      </c>
      <c r="BM6" s="138">
        <v>22074.259</v>
      </c>
      <c r="BN6" s="133">
        <v>37787.659</v>
      </c>
      <c r="BO6" s="133">
        <v>0</v>
      </c>
      <c r="BP6" s="133">
        <v>87914.956</v>
      </c>
      <c r="BQ6" s="133">
        <v>136440.849</v>
      </c>
      <c r="BR6" s="133">
        <f>747244.521+13600.097</f>
        <v>760844.6179999999</v>
      </c>
      <c r="BS6" s="138">
        <v>669206.211</v>
      </c>
      <c r="BT6" s="138">
        <v>78038.31</v>
      </c>
      <c r="BU6" s="138">
        <v>13600.097</v>
      </c>
      <c r="BV6" s="133">
        <v>148.797</v>
      </c>
      <c r="BW6" s="133">
        <v>66357.81</v>
      </c>
      <c r="BX6" s="133">
        <v>346222.427</v>
      </c>
      <c r="BY6" s="138"/>
      <c r="BZ6" s="133">
        <v>134188.837</v>
      </c>
      <c r="CA6" s="138">
        <v>48205.922</v>
      </c>
      <c r="CB6" s="138">
        <f>+BZ6-CA6</f>
        <v>85982.91500000001</v>
      </c>
      <c r="CC6" s="133">
        <v>11366.98</v>
      </c>
      <c r="CD6" s="133">
        <v>60967.01</v>
      </c>
      <c r="CE6" s="138"/>
      <c r="CF6" s="133">
        <v>92520.598</v>
      </c>
      <c r="CG6" s="133">
        <v>21967.77</v>
      </c>
      <c r="CH6" s="134">
        <v>1060.658</v>
      </c>
      <c r="CI6" s="133">
        <v>0</v>
      </c>
      <c r="CJ6" s="133">
        <v>25568.229</v>
      </c>
      <c r="CK6" s="133">
        <v>2600.753</v>
      </c>
      <c r="CL6" s="133">
        <v>0</v>
      </c>
      <c r="CM6" s="133">
        <v>17792.759</v>
      </c>
      <c r="CN6" s="133">
        <v>13557.192</v>
      </c>
      <c r="CO6" s="133">
        <v>84000</v>
      </c>
      <c r="CP6" s="133">
        <v>0</v>
      </c>
      <c r="CQ6" s="138"/>
      <c r="CR6" s="133">
        <v>25416.512</v>
      </c>
      <c r="CS6" s="133">
        <v>0</v>
      </c>
      <c r="CT6" s="133"/>
      <c r="CV6" s="30">
        <f>+B6+D6+J6+L6+P6+R6+T6+V6+Y6+AA6+AC6+AD6+AF6+AG6+AH6+AI6+AK6+AM6+AO6+AQ6+AR6+AT6+AV6+AX6+AY6+BA6+BB6+BD6+BF6+BH6+BJ6+BK6+BN6+BO6+BP6+BQ6+BR6+BV6+BW6+BX6+BZ6+CC6+CD6+CF6+CG6+CH6+CI6+CJ6+CK6+CL6+CM6+CN6+CO6+CP6+CR6+CS6</f>
        <v>48869024.699</v>
      </c>
      <c r="CW6" s="30"/>
      <c r="CX6" s="30">
        <f>+D6+AQ6+BJ6+BN6+BR6+BW6+BZ6+CF6+CG6+CJ6+CM6+CN6+CO6+CR6</f>
        <v>20895168.284</v>
      </c>
      <c r="CY6" s="30">
        <f>+B6+J6+L6+P6+R6+T6+V6+Y6+AA6+AC6+AD6+AF6+AG6+AH6+AI6+AK6+AM6+AO6+AR6+AT6+AV6+AX6+AY6+BA6+BB6+BD6+BF6+BH6+BK6+BO6+BP6+BQ6+BV6+BX6+CC6+CD6+CH6+CI6+CK6+CL6+CP6+CS6</f>
        <v>27973856.414999995</v>
      </c>
      <c r="CZ6" s="133"/>
      <c r="DA6" s="91">
        <f>+CV6-CX6-CY6</f>
        <v>0</v>
      </c>
    </row>
    <row r="7" spans="1:105" ht="12.75">
      <c r="A7" s="104" t="s">
        <v>250</v>
      </c>
      <c r="B7" s="133">
        <v>3712707.636</v>
      </c>
      <c r="C7" s="138"/>
      <c r="D7" s="133">
        <v>1835609</v>
      </c>
      <c r="E7" s="138">
        <v>1490742</v>
      </c>
      <c r="F7" s="138">
        <v>338648</v>
      </c>
      <c r="G7" s="138">
        <v>4262</v>
      </c>
      <c r="H7" s="138">
        <v>953</v>
      </c>
      <c r="I7" s="138">
        <v>1004</v>
      </c>
      <c r="J7" s="133">
        <v>1584970.882</v>
      </c>
      <c r="K7" s="138"/>
      <c r="L7" s="133">
        <v>1570091.069</v>
      </c>
      <c r="M7" s="138">
        <v>1566762.953</v>
      </c>
      <c r="N7" s="138">
        <v>3690.255</v>
      </c>
      <c r="O7" s="138">
        <v>-362.139</v>
      </c>
      <c r="P7" s="133">
        <v>1125380.517</v>
      </c>
      <c r="Q7" s="138">
        <v>107.434</v>
      </c>
      <c r="R7" s="133">
        <v>909151.048</v>
      </c>
      <c r="S7" s="138"/>
      <c r="T7" s="133">
        <v>616622.6</v>
      </c>
      <c r="U7" s="138"/>
      <c r="V7" s="133">
        <v>207294.683</v>
      </c>
      <c r="W7" s="138"/>
      <c r="X7" s="138"/>
      <c r="Y7" s="133">
        <v>421271.336</v>
      </c>
      <c r="Z7" s="138"/>
      <c r="AA7" s="133">
        <v>873523.236</v>
      </c>
      <c r="AB7" s="138"/>
      <c r="AC7" s="133">
        <v>158971.675</v>
      </c>
      <c r="AD7" s="133">
        <v>224052.232</v>
      </c>
      <c r="AE7" s="138"/>
      <c r="AF7" s="133">
        <v>352831</v>
      </c>
      <c r="AG7" s="133">
        <v>157054.55</v>
      </c>
      <c r="AH7" s="133">
        <v>376094.827</v>
      </c>
      <c r="AI7" s="133">
        <v>382359.385</v>
      </c>
      <c r="AJ7" s="138">
        <v>3765.721</v>
      </c>
      <c r="AK7" s="133">
        <v>204057.157</v>
      </c>
      <c r="AL7" s="138"/>
      <c r="AM7" s="133">
        <v>291991.695</v>
      </c>
      <c r="AN7" s="138"/>
      <c r="AO7" s="133">
        <v>67206.316</v>
      </c>
      <c r="AP7" s="138"/>
      <c r="AQ7" s="133">
        <v>216213.607</v>
      </c>
      <c r="AR7" s="133">
        <v>242976.227</v>
      </c>
      <c r="AS7" s="138"/>
      <c r="AT7" s="133">
        <v>187171.797</v>
      </c>
      <c r="AU7" s="138"/>
      <c r="AV7" s="133">
        <v>41842</v>
      </c>
      <c r="AW7" s="138"/>
      <c r="AX7" s="133">
        <v>151902.102</v>
      </c>
      <c r="AY7" s="133">
        <v>86772.185</v>
      </c>
      <c r="AZ7" s="138"/>
      <c r="BA7" s="133">
        <v>57919.415</v>
      </c>
      <c r="BB7" s="133">
        <v>1012.913</v>
      </c>
      <c r="BC7" s="138"/>
      <c r="BD7" s="133">
        <v>98473.508</v>
      </c>
      <c r="BE7" s="138"/>
      <c r="BF7" s="133">
        <v>57706.017</v>
      </c>
      <c r="BG7" s="138"/>
      <c r="BH7" s="133">
        <v>223398.292</v>
      </c>
      <c r="BI7" s="138"/>
      <c r="BJ7" s="133">
        <v>151564.175</v>
      </c>
      <c r="BK7" s="133">
        <v>12912.309</v>
      </c>
      <c r="BL7" s="138">
        <v>11696.46</v>
      </c>
      <c r="BM7" s="138">
        <v>1215.849</v>
      </c>
      <c r="BN7" s="133">
        <v>36526.082</v>
      </c>
      <c r="BO7" s="133">
        <v>67027.506</v>
      </c>
      <c r="BP7" s="133">
        <v>7398.551</v>
      </c>
      <c r="BQ7" s="133">
        <v>110879.932</v>
      </c>
      <c r="BR7" s="133">
        <v>6689.184</v>
      </c>
      <c r="BS7" s="138">
        <v>5815.934</v>
      </c>
      <c r="BT7" s="138">
        <v>820.76</v>
      </c>
      <c r="BU7" s="138">
        <v>52.49</v>
      </c>
      <c r="BV7" s="133">
        <v>1466.45</v>
      </c>
      <c r="BW7" s="133">
        <v>54707.921</v>
      </c>
      <c r="BX7" s="133">
        <v>17715.551</v>
      </c>
      <c r="BY7" s="138"/>
      <c r="BZ7" s="133">
        <v>54081.581</v>
      </c>
      <c r="CA7" s="138">
        <v>1893.618</v>
      </c>
      <c r="CB7" s="138">
        <f aca="true" t="shared" si="0" ref="CB7:CB14">+BZ7-CA7</f>
        <v>52187.962999999996</v>
      </c>
      <c r="CC7" s="133">
        <v>26486.428</v>
      </c>
      <c r="CD7" s="133">
        <v>18322.471</v>
      </c>
      <c r="CE7" s="138"/>
      <c r="CF7" s="133">
        <v>61569.64</v>
      </c>
      <c r="CG7" s="133">
        <v>43583.049</v>
      </c>
      <c r="CH7" s="133">
        <v>0</v>
      </c>
      <c r="CI7" s="133">
        <v>24384.037</v>
      </c>
      <c r="CJ7" s="133">
        <v>43886.921</v>
      </c>
      <c r="CK7" s="133">
        <v>13608.794</v>
      </c>
      <c r="CL7" s="133">
        <v>47046.011</v>
      </c>
      <c r="CM7" s="133">
        <v>14146.556</v>
      </c>
      <c r="CN7" s="133">
        <v>6303.784</v>
      </c>
      <c r="CO7" s="133">
        <v>5871.364</v>
      </c>
      <c r="CP7" s="133">
        <v>17663.033</v>
      </c>
      <c r="CQ7" s="138"/>
      <c r="CR7" s="133">
        <v>3542.995</v>
      </c>
      <c r="CS7" s="133">
        <v>17.251</v>
      </c>
      <c r="CT7" s="133"/>
      <c r="CV7" s="30">
        <f aca="true" t="shared" si="1" ref="CV7:CV42">+B7+D7+J7+L7+P7+R7+T7+V7+Y7+AA7+AC7+AD7+AF7+AG7+AH7+AI7+AK7+AM7+AO7+AQ7+AR7+AT7+AV7+AX7+AY7+BA7+BB7+BD7+BF7+BH7+BJ7+BK7+BN7+BO7+BP7+BQ7+BR7+BV7+BW7+BX7+BZ7+CC7+CD7+CF7+CG7+CH7+CI7+CJ7+CK7+CL7+CM7+CN7+CO7+CP7+CR7+CS7</f>
        <v>17284030.483000003</v>
      </c>
      <c r="CW7" s="30"/>
      <c r="CX7" s="30">
        <f aca="true" t="shared" si="2" ref="CX7:CX42">+D7+AQ7+BJ7+BN7+BR7+BW7+BZ7+CF7+CG7+CJ7+CM7+CN7+CO7+CR7</f>
        <v>2534295.859</v>
      </c>
      <c r="CY7" s="30">
        <f aca="true" t="shared" si="3" ref="CY7:CY42">+B7+J7+L7+P7+R7+T7+V7+Y7+AA7+AC7+AD7+AF7+AG7+AH7+AI7+AK7+AM7+AO7+AR7+AT7+AV7+AX7+AY7+BA7+BB7+BD7+BF7+BH7+BK7+BO7+BP7+BQ7+BV7+BX7+CC7+CD7+CH7+CI7+CK7+CL7+CP7+CS7</f>
        <v>14749734.624000002</v>
      </c>
      <c r="CZ7" s="133"/>
      <c r="DA7" s="91">
        <f aca="true" t="shared" si="4" ref="DA7:DA43">+CV7-CX7-CY7</f>
        <v>0</v>
      </c>
    </row>
    <row r="8" spans="1:106" ht="12.75">
      <c r="A8" s="104" t="s">
        <v>251</v>
      </c>
      <c r="B8" s="133">
        <v>8674.589</v>
      </c>
      <c r="C8" s="138"/>
      <c r="D8" s="133">
        <v>0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  <c r="J8" s="133">
        <v>17613.191</v>
      </c>
      <c r="K8" s="138"/>
      <c r="L8" s="133">
        <v>0</v>
      </c>
      <c r="M8" s="138">
        <f>+L8-N8</f>
        <v>0</v>
      </c>
      <c r="N8" s="138">
        <v>0</v>
      </c>
      <c r="O8" s="138">
        <v>0</v>
      </c>
      <c r="P8" s="133">
        <v>0</v>
      </c>
      <c r="Q8" s="138">
        <v>0</v>
      </c>
      <c r="R8" s="133">
        <v>4205.106</v>
      </c>
      <c r="S8" s="138"/>
      <c r="T8" s="133">
        <v>0</v>
      </c>
      <c r="U8" s="138"/>
      <c r="V8" s="133">
        <v>0</v>
      </c>
      <c r="W8" s="138"/>
      <c r="X8" s="138"/>
      <c r="Y8" s="133">
        <v>0</v>
      </c>
      <c r="Z8" s="138"/>
      <c r="AA8" s="133">
        <v>0</v>
      </c>
      <c r="AB8" s="138"/>
      <c r="AC8" s="133">
        <v>0</v>
      </c>
      <c r="AD8" s="133">
        <v>0</v>
      </c>
      <c r="AE8" s="138"/>
      <c r="AF8" s="133"/>
      <c r="AG8" s="133">
        <v>82806.184</v>
      </c>
      <c r="AH8" s="133">
        <v>5141.547</v>
      </c>
      <c r="AI8" s="133">
        <v>2211.163</v>
      </c>
      <c r="AJ8" s="138">
        <v>0</v>
      </c>
      <c r="AK8" s="133">
        <v>0</v>
      </c>
      <c r="AL8" s="138"/>
      <c r="AM8" s="133">
        <v>0</v>
      </c>
      <c r="AN8" s="138"/>
      <c r="AO8" s="133">
        <v>0</v>
      </c>
      <c r="AP8" s="138"/>
      <c r="AQ8" s="133">
        <v>0</v>
      </c>
      <c r="AR8" s="133">
        <v>0</v>
      </c>
      <c r="AS8" s="138"/>
      <c r="AT8" s="133">
        <v>0</v>
      </c>
      <c r="AU8" s="138"/>
      <c r="AV8" s="133">
        <v>0</v>
      </c>
      <c r="AW8" s="138"/>
      <c r="AX8" s="133">
        <v>0</v>
      </c>
      <c r="AY8" s="133">
        <v>0</v>
      </c>
      <c r="AZ8" s="138"/>
      <c r="BA8" s="133">
        <v>0</v>
      </c>
      <c r="BB8" s="133">
        <v>0</v>
      </c>
      <c r="BC8" s="138"/>
      <c r="BD8" s="133">
        <v>0</v>
      </c>
      <c r="BE8" s="138"/>
      <c r="BF8" s="133">
        <v>4042.946</v>
      </c>
      <c r="BG8" s="138"/>
      <c r="BH8" s="133">
        <v>0</v>
      </c>
      <c r="BI8" s="138"/>
      <c r="BJ8" s="133">
        <v>0</v>
      </c>
      <c r="BK8" s="133">
        <v>0</v>
      </c>
      <c r="BL8" s="138">
        <v>0</v>
      </c>
      <c r="BM8" s="138">
        <v>0</v>
      </c>
      <c r="BN8" s="133">
        <v>0</v>
      </c>
      <c r="BO8" s="133">
        <v>0</v>
      </c>
      <c r="BP8" s="133">
        <v>2280.406</v>
      </c>
      <c r="BQ8" s="133">
        <v>571.678</v>
      </c>
      <c r="BR8" s="133">
        <v>0</v>
      </c>
      <c r="BS8" s="138">
        <v>0</v>
      </c>
      <c r="BT8" s="138">
        <v>0</v>
      </c>
      <c r="BU8" s="138">
        <v>0</v>
      </c>
      <c r="BV8" s="133">
        <v>2472.754</v>
      </c>
      <c r="BW8" s="133">
        <v>5124.037</v>
      </c>
      <c r="BX8" s="133">
        <v>0</v>
      </c>
      <c r="BY8" s="138"/>
      <c r="BZ8" s="133">
        <v>0</v>
      </c>
      <c r="CA8" s="138">
        <v>0</v>
      </c>
      <c r="CB8" s="138">
        <f t="shared" si="0"/>
        <v>0</v>
      </c>
      <c r="CC8" s="133">
        <v>0</v>
      </c>
      <c r="CD8" s="133">
        <v>0</v>
      </c>
      <c r="CE8" s="138"/>
      <c r="CF8" s="133">
        <v>0</v>
      </c>
      <c r="CG8" s="133">
        <v>0</v>
      </c>
      <c r="CH8" s="133">
        <v>0</v>
      </c>
      <c r="CI8" s="133">
        <v>0</v>
      </c>
      <c r="CJ8" s="133">
        <v>0</v>
      </c>
      <c r="CK8" s="133">
        <v>0</v>
      </c>
      <c r="CL8" s="133">
        <v>0</v>
      </c>
      <c r="CM8" s="133">
        <v>0</v>
      </c>
      <c r="CN8" s="133">
        <v>0</v>
      </c>
      <c r="CO8" s="133">
        <v>0</v>
      </c>
      <c r="CP8" s="133">
        <v>0</v>
      </c>
      <c r="CQ8" s="138"/>
      <c r="CR8" s="133">
        <v>0</v>
      </c>
      <c r="CS8" s="133">
        <v>0</v>
      </c>
      <c r="CT8" s="133"/>
      <c r="CV8" s="30">
        <f t="shared" si="1"/>
        <v>135143.601</v>
      </c>
      <c r="CW8" s="30"/>
      <c r="CX8" s="30">
        <f t="shared" si="2"/>
        <v>5124.037</v>
      </c>
      <c r="CY8" s="30">
        <f t="shared" si="3"/>
        <v>130019.564</v>
      </c>
      <c r="CZ8" s="133"/>
      <c r="DA8" s="91">
        <f t="shared" si="4"/>
        <v>0</v>
      </c>
      <c r="DB8" s="30"/>
    </row>
    <row r="9" spans="1:105" ht="12.75">
      <c r="A9" s="104" t="s">
        <v>252</v>
      </c>
      <c r="B9" s="133">
        <v>3474097.041</v>
      </c>
      <c r="C9" s="138"/>
      <c r="D9" s="133">
        <v>3604811</v>
      </c>
      <c r="E9" s="138">
        <v>3370016</v>
      </c>
      <c r="F9" s="138">
        <v>233334</v>
      </c>
      <c r="G9" s="138">
        <v>893</v>
      </c>
      <c r="H9" s="138">
        <v>0</v>
      </c>
      <c r="I9" s="138">
        <v>568</v>
      </c>
      <c r="J9" s="133">
        <v>2225838.705</v>
      </c>
      <c r="K9" s="138"/>
      <c r="L9" s="133">
        <v>2333191.234</v>
      </c>
      <c r="M9" s="138">
        <v>2333191.234</v>
      </c>
      <c r="N9" s="138">
        <v>0</v>
      </c>
      <c r="O9" s="138">
        <v>0</v>
      </c>
      <c r="P9" s="133">
        <v>2072206.316</v>
      </c>
      <c r="Q9" s="138">
        <v>0</v>
      </c>
      <c r="R9" s="133">
        <v>724039.962</v>
      </c>
      <c r="S9" s="138"/>
      <c r="T9" s="133">
        <v>1059395.498</v>
      </c>
      <c r="U9" s="138"/>
      <c r="V9" s="133">
        <v>223058.532</v>
      </c>
      <c r="W9" s="138"/>
      <c r="X9" s="138"/>
      <c r="Y9" s="133">
        <v>707067.263</v>
      </c>
      <c r="Z9" s="138"/>
      <c r="AA9" s="133">
        <v>633130.266</v>
      </c>
      <c r="AB9" s="138"/>
      <c r="AC9" s="133">
        <v>1760125.204</v>
      </c>
      <c r="AD9" s="133">
        <v>874756.501</v>
      </c>
      <c r="AE9" s="138"/>
      <c r="AF9" s="133">
        <v>466371</v>
      </c>
      <c r="AG9" s="133">
        <v>690252.712</v>
      </c>
      <c r="AH9" s="133">
        <v>466016.039</v>
      </c>
      <c r="AI9" s="133">
        <v>217235.253</v>
      </c>
      <c r="AJ9" s="138">
        <v>0</v>
      </c>
      <c r="AK9" s="133">
        <v>484592.531</v>
      </c>
      <c r="AL9" s="138"/>
      <c r="AM9" s="133">
        <v>338401.418</v>
      </c>
      <c r="AN9" s="138"/>
      <c r="AO9" s="133">
        <v>123358.676</v>
      </c>
      <c r="AP9" s="138"/>
      <c r="AQ9" s="133">
        <v>366976.824</v>
      </c>
      <c r="AR9" s="133">
        <v>553834.956</v>
      </c>
      <c r="AS9" s="138"/>
      <c r="AT9" s="133">
        <v>195105.918</v>
      </c>
      <c r="AU9" s="138"/>
      <c r="AV9" s="133">
        <v>237979</v>
      </c>
      <c r="AW9" s="138"/>
      <c r="AX9" s="133">
        <v>580085.045</v>
      </c>
      <c r="AY9" s="133">
        <v>130929.115</v>
      </c>
      <c r="AZ9" s="138"/>
      <c r="BA9" s="133">
        <v>146387.037</v>
      </c>
      <c r="BB9" s="133">
        <v>97778.928</v>
      </c>
      <c r="BC9" s="138"/>
      <c r="BD9" s="133">
        <v>204214.412</v>
      </c>
      <c r="BE9" s="138"/>
      <c r="BF9" s="133">
        <v>64406.648</v>
      </c>
      <c r="BG9" s="138"/>
      <c r="BH9" s="133">
        <v>244432.621</v>
      </c>
      <c r="BI9" s="138"/>
      <c r="BJ9" s="133">
        <v>200849.284</v>
      </c>
      <c r="BK9" s="133">
        <v>412157.141</v>
      </c>
      <c r="BL9" s="138">
        <v>325233.285</v>
      </c>
      <c r="BM9" s="138">
        <v>86923.856</v>
      </c>
      <c r="BN9" s="133">
        <v>64886.832</v>
      </c>
      <c r="BO9" s="133">
        <v>151101.412</v>
      </c>
      <c r="BP9" s="133">
        <v>177210.339</v>
      </c>
      <c r="BQ9" s="133">
        <f>1095.798+53227.834</f>
        <v>54323.632000000005</v>
      </c>
      <c r="BR9" s="133">
        <v>5914.358</v>
      </c>
      <c r="BS9" s="138">
        <v>5129.094</v>
      </c>
      <c r="BT9" s="138">
        <v>785.264</v>
      </c>
      <c r="BU9" s="138">
        <v>0</v>
      </c>
      <c r="BV9" s="133">
        <v>72687.06</v>
      </c>
      <c r="BW9" s="133">
        <v>121701.975</v>
      </c>
      <c r="BX9" s="133">
        <v>10577.327</v>
      </c>
      <c r="BY9" s="138"/>
      <c r="BZ9" s="133">
        <v>107748.428</v>
      </c>
      <c r="CA9" s="138">
        <v>717.806</v>
      </c>
      <c r="CB9" s="138">
        <f t="shared" si="0"/>
        <v>107030.622</v>
      </c>
      <c r="CC9" s="133">
        <v>101543.355</v>
      </c>
      <c r="CD9" s="133">
        <v>33407.117</v>
      </c>
      <c r="CE9" s="138"/>
      <c r="CF9" s="133">
        <v>74065.127</v>
      </c>
      <c r="CG9" s="133">
        <v>217230.841</v>
      </c>
      <c r="CH9" s="133">
        <v>0</v>
      </c>
      <c r="CI9" s="133">
        <v>21490.525</v>
      </c>
      <c r="CJ9" s="133">
        <v>16833.002</v>
      </c>
      <c r="CK9" s="133">
        <v>9501.832</v>
      </c>
      <c r="CL9" s="133">
        <v>23521.243</v>
      </c>
      <c r="CM9" s="133">
        <v>27584.761</v>
      </c>
      <c r="CN9" s="133">
        <v>8443.064</v>
      </c>
      <c r="CO9" s="133">
        <v>12127.812</v>
      </c>
      <c r="CP9" s="133">
        <v>19520.384</v>
      </c>
      <c r="CQ9" s="138"/>
      <c r="CR9" s="133">
        <v>3448.671</v>
      </c>
      <c r="CS9" s="133">
        <v>1980.416</v>
      </c>
      <c r="CT9" s="133"/>
      <c r="CV9" s="30">
        <f t="shared" si="1"/>
        <v>27249931.59299999</v>
      </c>
      <c r="CW9" s="30"/>
      <c r="CX9" s="30">
        <f t="shared" si="2"/>
        <v>4832621.979000001</v>
      </c>
      <c r="CY9" s="30">
        <f t="shared" si="3"/>
        <v>22417309.613999996</v>
      </c>
      <c r="CZ9" s="133"/>
      <c r="DA9" s="91">
        <f t="shared" si="4"/>
        <v>0</v>
      </c>
    </row>
    <row r="10" spans="1:105" ht="12.75">
      <c r="A10" s="104" t="s">
        <v>275</v>
      </c>
      <c r="B10" s="133">
        <v>1729980.622</v>
      </c>
      <c r="C10" s="138"/>
      <c r="D10" s="133">
        <v>217887</v>
      </c>
      <c r="E10" s="138">
        <v>24000</v>
      </c>
      <c r="F10" s="138">
        <v>131623</v>
      </c>
      <c r="G10" s="138">
        <v>0</v>
      </c>
      <c r="H10" s="138">
        <v>0</v>
      </c>
      <c r="I10" s="138">
        <v>221511</v>
      </c>
      <c r="J10" s="133">
        <v>5121492.016</v>
      </c>
      <c r="K10" s="138"/>
      <c r="L10" s="133">
        <v>10293514.088</v>
      </c>
      <c r="M10" s="138">
        <v>10293514.088</v>
      </c>
      <c r="N10" s="138">
        <v>0</v>
      </c>
      <c r="O10" s="138">
        <v>0</v>
      </c>
      <c r="P10" s="133">
        <v>2612820.643</v>
      </c>
      <c r="Q10" s="138">
        <v>0</v>
      </c>
      <c r="R10" s="133">
        <v>1110254.05</v>
      </c>
      <c r="S10" s="138"/>
      <c r="T10" s="133">
        <v>517156.978</v>
      </c>
      <c r="U10" s="138"/>
      <c r="V10" s="133">
        <v>1871704.409</v>
      </c>
      <c r="W10" s="138"/>
      <c r="X10" s="138"/>
      <c r="Y10" s="133">
        <v>1455624.862</v>
      </c>
      <c r="Z10" s="138"/>
      <c r="AA10" s="133">
        <v>1299884.598</v>
      </c>
      <c r="AB10" s="138"/>
      <c r="AC10" s="133">
        <v>3566421.131</v>
      </c>
      <c r="AD10" s="133">
        <v>346390.592</v>
      </c>
      <c r="AE10" s="138"/>
      <c r="AF10" s="133">
        <v>523333</v>
      </c>
      <c r="AG10" s="133">
        <v>1871866.669</v>
      </c>
      <c r="AH10" s="133">
        <v>5692938.026</v>
      </c>
      <c r="AI10" s="133">
        <v>171856.526</v>
      </c>
      <c r="AJ10" s="138">
        <v>0</v>
      </c>
      <c r="AK10" s="133">
        <v>356724.309</v>
      </c>
      <c r="AL10" s="138"/>
      <c r="AM10" s="133">
        <v>1403424.28</v>
      </c>
      <c r="AN10" s="138"/>
      <c r="AO10" s="133">
        <v>2045492.916</v>
      </c>
      <c r="AP10" s="138"/>
      <c r="AQ10" s="133">
        <v>3999.975</v>
      </c>
      <c r="AR10" s="133">
        <v>155190.1</v>
      </c>
      <c r="AS10" s="138"/>
      <c r="AT10" s="133">
        <v>29342.925</v>
      </c>
      <c r="AU10" s="138"/>
      <c r="AV10" s="133">
        <v>2271479</v>
      </c>
      <c r="AW10" s="138"/>
      <c r="AX10" s="133">
        <v>271038.633</v>
      </c>
      <c r="AY10" s="133">
        <v>848024.079</v>
      </c>
      <c r="AZ10" s="138"/>
      <c r="BA10" s="133">
        <v>1217747.217</v>
      </c>
      <c r="BB10" s="133">
        <v>603536.375</v>
      </c>
      <c r="BC10" s="138"/>
      <c r="BD10" s="133">
        <v>86851.221</v>
      </c>
      <c r="BE10" s="138"/>
      <c r="BF10" s="133">
        <v>1240656.099</v>
      </c>
      <c r="BG10" s="138"/>
      <c r="BH10" s="133">
        <v>66604.717</v>
      </c>
      <c r="BI10" s="138"/>
      <c r="BJ10" s="133">
        <v>816098.549</v>
      </c>
      <c r="BK10" s="133">
        <v>0</v>
      </c>
      <c r="BL10" s="138">
        <v>0</v>
      </c>
      <c r="BM10" s="138">
        <v>0</v>
      </c>
      <c r="BN10" s="133">
        <v>541411.317</v>
      </c>
      <c r="BO10" s="133">
        <v>123705.985</v>
      </c>
      <c r="BP10" s="133">
        <v>314919.294</v>
      </c>
      <c r="BQ10" s="133">
        <v>0</v>
      </c>
      <c r="BR10" s="133">
        <v>630548.854</v>
      </c>
      <c r="BS10" s="138">
        <v>535429.497</v>
      </c>
      <c r="BT10" s="138">
        <v>85006.707</v>
      </c>
      <c r="BU10" s="138">
        <v>10112.65</v>
      </c>
      <c r="BV10" s="133">
        <v>288512.298</v>
      </c>
      <c r="BW10" s="133">
        <v>54430.765</v>
      </c>
      <c r="BX10" s="133">
        <v>394699.13</v>
      </c>
      <c r="BY10" s="138"/>
      <c r="BZ10" s="133">
        <v>0</v>
      </c>
      <c r="CA10" s="138">
        <v>0</v>
      </c>
      <c r="CB10" s="138">
        <f t="shared" si="0"/>
        <v>0</v>
      </c>
      <c r="CC10" s="133">
        <v>93497.154</v>
      </c>
      <c r="CD10" s="133">
        <v>213076.022</v>
      </c>
      <c r="CE10" s="138"/>
      <c r="CF10" s="133">
        <v>41770.938</v>
      </c>
      <c r="CG10" s="133">
        <v>0</v>
      </c>
      <c r="CH10" s="133">
        <v>128989.766</v>
      </c>
      <c r="CI10" s="133">
        <v>66892.965</v>
      </c>
      <c r="CJ10" s="133">
        <v>61972.683</v>
      </c>
      <c r="CK10" s="133">
        <v>54826.824</v>
      </c>
      <c r="CL10" s="133">
        <v>0</v>
      </c>
      <c r="CM10" s="133">
        <v>8795.789</v>
      </c>
      <c r="CN10" s="133">
        <v>7334.581</v>
      </c>
      <c r="CO10" s="133">
        <v>0</v>
      </c>
      <c r="CP10" s="133">
        <v>0</v>
      </c>
      <c r="CQ10" s="138"/>
      <c r="CR10" s="133">
        <v>0</v>
      </c>
      <c r="CS10" s="133">
        <v>0</v>
      </c>
      <c r="CT10" s="133"/>
      <c r="CV10" s="30">
        <f t="shared" si="1"/>
        <v>52844719.97000002</v>
      </c>
      <c r="CW10" s="30"/>
      <c r="CX10" s="30">
        <f t="shared" si="2"/>
        <v>2384250.4510000004</v>
      </c>
      <c r="CY10" s="30">
        <f t="shared" si="3"/>
        <v>50460469.519000016</v>
      </c>
      <c r="CZ10" s="133"/>
      <c r="DA10" s="91">
        <f t="shared" si="4"/>
        <v>0</v>
      </c>
    </row>
    <row r="11" spans="1:105" ht="12.75">
      <c r="A11" s="104" t="s">
        <v>276</v>
      </c>
      <c r="B11" s="133">
        <v>3137277.727</v>
      </c>
      <c r="C11" s="138"/>
      <c r="D11" s="133">
        <v>487445</v>
      </c>
      <c r="E11" s="138">
        <v>448289</v>
      </c>
      <c r="F11" s="138">
        <v>39156</v>
      </c>
      <c r="G11" s="138">
        <v>0</v>
      </c>
      <c r="H11" s="138">
        <v>0</v>
      </c>
      <c r="I11" s="138">
        <v>0</v>
      </c>
      <c r="J11" s="133">
        <v>1140216.618</v>
      </c>
      <c r="K11" s="138"/>
      <c r="L11" s="133">
        <v>1261863.634</v>
      </c>
      <c r="M11" s="138">
        <v>1261863.634</v>
      </c>
      <c r="N11" s="138">
        <v>0</v>
      </c>
      <c r="O11" s="138">
        <v>0</v>
      </c>
      <c r="P11" s="133">
        <v>1758029.633</v>
      </c>
      <c r="Q11" s="138">
        <v>0</v>
      </c>
      <c r="R11" s="133">
        <v>928627.356</v>
      </c>
      <c r="S11" s="138"/>
      <c r="T11" s="133">
        <v>321167.631</v>
      </c>
      <c r="U11" s="138"/>
      <c r="V11" s="133">
        <v>1468989.442</v>
      </c>
      <c r="W11" s="138"/>
      <c r="X11" s="138"/>
      <c r="Y11" s="133">
        <v>349192.748</v>
      </c>
      <c r="Z11" s="138"/>
      <c r="AA11" s="133">
        <v>0</v>
      </c>
      <c r="AB11" s="138"/>
      <c r="AC11" s="133">
        <v>0</v>
      </c>
      <c r="AD11" s="133">
        <v>807715.382</v>
      </c>
      <c r="AE11" s="138"/>
      <c r="AF11" s="133">
        <v>0</v>
      </c>
      <c r="AG11" s="133">
        <v>184378.956</v>
      </c>
      <c r="AH11" s="133">
        <v>340968.964</v>
      </c>
      <c r="AI11" s="133">
        <v>0</v>
      </c>
      <c r="AJ11" s="138">
        <v>0</v>
      </c>
      <c r="AK11" s="133">
        <v>264953.133</v>
      </c>
      <c r="AL11" s="138"/>
      <c r="AM11" s="133">
        <v>175676.749</v>
      </c>
      <c r="AN11" s="138"/>
      <c r="AO11" s="133">
        <v>0</v>
      </c>
      <c r="AP11" s="138"/>
      <c r="AQ11" s="133">
        <v>31048.6</v>
      </c>
      <c r="AR11" s="133">
        <v>69457.228</v>
      </c>
      <c r="AS11" s="138"/>
      <c r="AT11" s="133">
        <v>476589.822</v>
      </c>
      <c r="AU11" s="138"/>
      <c r="AV11" s="133">
        <v>628938</v>
      </c>
      <c r="AW11" s="138"/>
      <c r="AX11" s="133">
        <v>145356.139</v>
      </c>
      <c r="AY11" s="133">
        <v>0</v>
      </c>
      <c r="AZ11" s="138"/>
      <c r="BA11" s="133">
        <v>319976.409</v>
      </c>
      <c r="BB11" s="133">
        <v>1851830.742</v>
      </c>
      <c r="BC11" s="138"/>
      <c r="BD11" s="133">
        <v>17415.686</v>
      </c>
      <c r="BE11" s="138"/>
      <c r="BF11" s="133">
        <v>172804.718</v>
      </c>
      <c r="BG11" s="138"/>
      <c r="BH11" s="133">
        <v>0</v>
      </c>
      <c r="BI11" s="138"/>
      <c r="BJ11" s="133">
        <v>0</v>
      </c>
      <c r="BK11" s="133">
        <v>0</v>
      </c>
      <c r="BL11" s="138">
        <v>0</v>
      </c>
      <c r="BM11" s="138">
        <v>0</v>
      </c>
      <c r="BN11" s="133">
        <v>0</v>
      </c>
      <c r="BO11" s="133">
        <v>425791.203</v>
      </c>
      <c r="BP11" s="133">
        <v>0</v>
      </c>
      <c r="BQ11" s="133">
        <v>0</v>
      </c>
      <c r="BR11" s="133">
        <v>0</v>
      </c>
      <c r="BS11" s="138">
        <v>0</v>
      </c>
      <c r="BT11" s="138">
        <v>0</v>
      </c>
      <c r="BU11" s="138">
        <v>0</v>
      </c>
      <c r="BV11" s="133">
        <v>0</v>
      </c>
      <c r="BW11" s="133">
        <v>195539.204</v>
      </c>
      <c r="BX11" s="133">
        <v>423058.983</v>
      </c>
      <c r="BY11" s="138"/>
      <c r="BZ11" s="133">
        <v>0</v>
      </c>
      <c r="CA11" s="138">
        <v>0</v>
      </c>
      <c r="CB11" s="138">
        <f t="shared" si="0"/>
        <v>0</v>
      </c>
      <c r="CC11" s="133">
        <v>11222.834</v>
      </c>
      <c r="CD11" s="133">
        <v>253729.305</v>
      </c>
      <c r="CE11" s="138"/>
      <c r="CF11" s="133">
        <v>0</v>
      </c>
      <c r="CG11" s="133">
        <v>0</v>
      </c>
      <c r="CH11" s="133">
        <v>83494.271</v>
      </c>
      <c r="CI11" s="133">
        <v>81655.887</v>
      </c>
      <c r="CJ11" s="133">
        <v>0</v>
      </c>
      <c r="CK11" s="133">
        <v>75956.551</v>
      </c>
      <c r="CL11" s="133">
        <v>0</v>
      </c>
      <c r="CM11" s="133">
        <v>10306.958</v>
      </c>
      <c r="CN11" s="133">
        <v>234.156</v>
      </c>
      <c r="CO11" s="133">
        <v>0</v>
      </c>
      <c r="CP11" s="133">
        <v>0</v>
      </c>
      <c r="CQ11" s="138"/>
      <c r="CR11" s="133">
        <v>0</v>
      </c>
      <c r="CS11" s="133">
        <v>0</v>
      </c>
      <c r="CT11" s="133"/>
      <c r="CV11" s="30">
        <f t="shared" si="1"/>
        <v>17900909.668999996</v>
      </c>
      <c r="CW11" s="30"/>
      <c r="CX11" s="30">
        <f t="shared" si="2"/>
        <v>724573.918</v>
      </c>
      <c r="CY11" s="30">
        <f t="shared" si="3"/>
        <v>17176335.751000002</v>
      </c>
      <c r="CZ11" s="133"/>
      <c r="DA11" s="91">
        <f t="shared" si="4"/>
        <v>0</v>
      </c>
    </row>
    <row r="12" spans="1:105" ht="12.75">
      <c r="A12" s="104" t="s">
        <v>339</v>
      </c>
      <c r="B12" s="133">
        <v>0</v>
      </c>
      <c r="C12" s="138"/>
      <c r="D12" s="133">
        <v>0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133">
        <v>0</v>
      </c>
      <c r="K12" s="138"/>
      <c r="L12" s="133">
        <v>0</v>
      </c>
      <c r="M12" s="138">
        <f>+L12-N12</f>
        <v>0</v>
      </c>
      <c r="N12" s="138">
        <v>0</v>
      </c>
      <c r="O12" s="138">
        <v>0</v>
      </c>
      <c r="P12" s="133">
        <v>0</v>
      </c>
      <c r="Q12" s="138">
        <v>0</v>
      </c>
      <c r="R12" s="133">
        <v>0</v>
      </c>
      <c r="S12" s="138"/>
      <c r="T12" s="133">
        <v>0</v>
      </c>
      <c r="U12" s="138"/>
      <c r="V12" s="133">
        <v>0</v>
      </c>
      <c r="W12" s="138"/>
      <c r="X12" s="138"/>
      <c r="Y12" s="133">
        <v>0</v>
      </c>
      <c r="Z12" s="138"/>
      <c r="AA12" s="133">
        <v>0</v>
      </c>
      <c r="AB12" s="138"/>
      <c r="AC12" s="133">
        <v>0</v>
      </c>
      <c r="AD12" s="133">
        <v>6088.776</v>
      </c>
      <c r="AE12" s="138"/>
      <c r="AF12" s="133">
        <v>0</v>
      </c>
      <c r="AG12" s="133">
        <v>0</v>
      </c>
      <c r="AH12" s="133">
        <v>0</v>
      </c>
      <c r="AI12" s="133">
        <v>0</v>
      </c>
      <c r="AJ12" s="138">
        <v>0</v>
      </c>
      <c r="AK12" s="133">
        <v>0</v>
      </c>
      <c r="AL12" s="138"/>
      <c r="AM12" s="133">
        <v>0</v>
      </c>
      <c r="AN12" s="138"/>
      <c r="AO12" s="133">
        <v>0</v>
      </c>
      <c r="AP12" s="138"/>
      <c r="AQ12" s="133">
        <v>0</v>
      </c>
      <c r="AR12" s="133">
        <v>4347.663</v>
      </c>
      <c r="AS12" s="138"/>
      <c r="AT12" s="133">
        <v>0</v>
      </c>
      <c r="AU12" s="138"/>
      <c r="AV12" s="133">
        <v>0</v>
      </c>
      <c r="AW12" s="138"/>
      <c r="AX12" s="133">
        <v>0</v>
      </c>
      <c r="AY12" s="133">
        <v>0</v>
      </c>
      <c r="AZ12" s="138"/>
      <c r="BA12" s="133">
        <v>120000.18</v>
      </c>
      <c r="BB12" s="133">
        <v>0</v>
      </c>
      <c r="BC12" s="138"/>
      <c r="BD12" s="133">
        <v>0</v>
      </c>
      <c r="BE12" s="138"/>
      <c r="BF12" s="133">
        <v>0</v>
      </c>
      <c r="BG12" s="138"/>
      <c r="BH12" s="133">
        <v>0</v>
      </c>
      <c r="BI12" s="138"/>
      <c r="BJ12" s="133">
        <v>0</v>
      </c>
      <c r="BK12" s="133">
        <v>0</v>
      </c>
      <c r="BL12" s="138">
        <v>0</v>
      </c>
      <c r="BM12" s="138">
        <v>0</v>
      </c>
      <c r="BN12" s="133">
        <v>0</v>
      </c>
      <c r="BO12" s="133">
        <v>0</v>
      </c>
      <c r="BP12" s="133">
        <v>8686.469</v>
      </c>
      <c r="BQ12" s="133">
        <v>0</v>
      </c>
      <c r="BR12" s="133">
        <v>0</v>
      </c>
      <c r="BS12" s="138">
        <v>0</v>
      </c>
      <c r="BT12" s="138">
        <v>0</v>
      </c>
      <c r="BU12" s="138">
        <v>0</v>
      </c>
      <c r="BV12" s="133">
        <v>0</v>
      </c>
      <c r="BW12" s="133">
        <v>0</v>
      </c>
      <c r="BX12" s="133">
        <v>0</v>
      </c>
      <c r="BY12" s="138"/>
      <c r="BZ12" s="133">
        <v>0</v>
      </c>
      <c r="CA12" s="138">
        <v>0</v>
      </c>
      <c r="CB12" s="138">
        <f t="shared" si="0"/>
        <v>0</v>
      </c>
      <c r="CC12" s="133">
        <v>0</v>
      </c>
      <c r="CD12" s="133">
        <v>0</v>
      </c>
      <c r="CE12" s="138"/>
      <c r="CF12" s="133">
        <v>0</v>
      </c>
      <c r="CG12" s="133">
        <v>0</v>
      </c>
      <c r="CH12" s="133">
        <v>0</v>
      </c>
      <c r="CI12" s="133">
        <v>0</v>
      </c>
      <c r="CJ12" s="133">
        <v>0</v>
      </c>
      <c r="CK12" s="133">
        <v>0</v>
      </c>
      <c r="CL12" s="133">
        <v>0</v>
      </c>
      <c r="CM12" s="133">
        <v>0</v>
      </c>
      <c r="CN12" s="133">
        <v>0</v>
      </c>
      <c r="CO12" s="133">
        <v>0</v>
      </c>
      <c r="CP12" s="133">
        <v>0</v>
      </c>
      <c r="CQ12" s="138"/>
      <c r="CR12" s="133">
        <v>0</v>
      </c>
      <c r="CS12" s="133">
        <v>0</v>
      </c>
      <c r="CT12" s="133"/>
      <c r="CV12" s="30">
        <f t="shared" si="1"/>
        <v>139123.088</v>
      </c>
      <c r="CW12" s="30"/>
      <c r="CX12" s="30">
        <f t="shared" si="2"/>
        <v>0</v>
      </c>
      <c r="CY12" s="30">
        <f t="shared" si="3"/>
        <v>139123.088</v>
      </c>
      <c r="CZ12" s="133"/>
      <c r="DA12" s="91">
        <f t="shared" si="4"/>
        <v>0</v>
      </c>
    </row>
    <row r="13" spans="1:105" ht="12.75">
      <c r="A13" s="104" t="s">
        <v>253</v>
      </c>
      <c r="B13" s="133">
        <v>130</v>
      </c>
      <c r="C13" s="138"/>
      <c r="D13" s="133">
        <v>0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133">
        <v>0</v>
      </c>
      <c r="K13" s="138"/>
      <c r="L13" s="133">
        <v>0</v>
      </c>
      <c r="M13" s="138">
        <f>+L13-N13</f>
        <v>0</v>
      </c>
      <c r="N13" s="138">
        <v>0</v>
      </c>
      <c r="O13" s="138">
        <v>0</v>
      </c>
      <c r="P13" s="133">
        <v>1582.793</v>
      </c>
      <c r="Q13" s="138">
        <v>0</v>
      </c>
      <c r="R13" s="133">
        <v>144328.765</v>
      </c>
      <c r="S13" s="138"/>
      <c r="T13" s="133">
        <v>0</v>
      </c>
      <c r="U13" s="138"/>
      <c r="V13" s="133">
        <v>0</v>
      </c>
      <c r="W13" s="138"/>
      <c r="X13" s="138"/>
      <c r="Y13" s="133">
        <v>44140.045</v>
      </c>
      <c r="Z13" s="138"/>
      <c r="AA13" s="133">
        <v>0</v>
      </c>
      <c r="AB13" s="138"/>
      <c r="AC13" s="133">
        <v>0</v>
      </c>
      <c r="AD13" s="133">
        <v>0</v>
      </c>
      <c r="AE13" s="138"/>
      <c r="AF13" s="133">
        <v>20747</v>
      </c>
      <c r="AG13" s="133">
        <v>0</v>
      </c>
      <c r="AH13" s="133">
        <v>11325.388</v>
      </c>
      <c r="AI13" s="133">
        <v>0</v>
      </c>
      <c r="AJ13" s="138">
        <v>0</v>
      </c>
      <c r="AK13" s="133">
        <v>0</v>
      </c>
      <c r="AL13" s="138"/>
      <c r="AM13" s="133">
        <v>3452.897</v>
      </c>
      <c r="AN13" s="138"/>
      <c r="AO13" s="133">
        <v>0</v>
      </c>
      <c r="AP13" s="138"/>
      <c r="AQ13" s="133">
        <v>0</v>
      </c>
      <c r="AR13" s="133">
        <v>0</v>
      </c>
      <c r="AS13" s="138"/>
      <c r="AT13" s="133">
        <v>0</v>
      </c>
      <c r="AU13" s="138"/>
      <c r="AV13" s="133">
        <v>0</v>
      </c>
      <c r="AW13" s="138"/>
      <c r="AX13" s="133">
        <v>0</v>
      </c>
      <c r="AY13" s="133">
        <v>0</v>
      </c>
      <c r="AZ13" s="138"/>
      <c r="BA13" s="133">
        <v>0</v>
      </c>
      <c r="BB13" s="133">
        <v>0</v>
      </c>
      <c r="BC13" s="138"/>
      <c r="BD13" s="133">
        <v>0</v>
      </c>
      <c r="BE13" s="138"/>
      <c r="BF13" s="133">
        <v>0</v>
      </c>
      <c r="BG13" s="138"/>
      <c r="BH13" s="133">
        <v>0</v>
      </c>
      <c r="BI13" s="138"/>
      <c r="BJ13" s="133">
        <v>0</v>
      </c>
      <c r="BK13" s="133">
        <v>0</v>
      </c>
      <c r="BL13" s="138">
        <v>0</v>
      </c>
      <c r="BM13" s="138">
        <v>0</v>
      </c>
      <c r="BN13" s="133">
        <v>0</v>
      </c>
      <c r="BO13" s="133">
        <v>0</v>
      </c>
      <c r="BP13" s="133">
        <v>0</v>
      </c>
      <c r="BQ13" s="133">
        <v>0</v>
      </c>
      <c r="BR13" s="133">
        <v>0</v>
      </c>
      <c r="BS13" s="138">
        <v>0</v>
      </c>
      <c r="BT13" s="138">
        <v>0</v>
      </c>
      <c r="BU13" s="138">
        <v>0</v>
      </c>
      <c r="BV13" s="133">
        <v>0</v>
      </c>
      <c r="BW13" s="133">
        <v>0</v>
      </c>
      <c r="BX13" s="133">
        <v>40000</v>
      </c>
      <c r="BY13" s="138"/>
      <c r="BZ13" s="133">
        <v>0</v>
      </c>
      <c r="CA13" s="138">
        <v>0</v>
      </c>
      <c r="CB13" s="138">
        <f t="shared" si="0"/>
        <v>0</v>
      </c>
      <c r="CC13" s="133">
        <v>0</v>
      </c>
      <c r="CD13" s="133">
        <v>0</v>
      </c>
      <c r="CE13" s="138"/>
      <c r="CF13" s="133">
        <v>0</v>
      </c>
      <c r="CG13" s="133">
        <v>0</v>
      </c>
      <c r="CH13" s="133">
        <v>0</v>
      </c>
      <c r="CI13" s="133">
        <v>0</v>
      </c>
      <c r="CJ13" s="133">
        <v>0</v>
      </c>
      <c r="CK13" s="133">
        <v>0</v>
      </c>
      <c r="CL13" s="133">
        <v>0</v>
      </c>
      <c r="CM13" s="133">
        <v>0</v>
      </c>
      <c r="CN13" s="133">
        <v>0</v>
      </c>
      <c r="CO13" s="133">
        <v>0</v>
      </c>
      <c r="CP13" s="133">
        <v>0</v>
      </c>
      <c r="CQ13" s="138"/>
      <c r="CR13" s="133">
        <v>0</v>
      </c>
      <c r="CS13" s="133">
        <v>0</v>
      </c>
      <c r="CT13" s="133"/>
      <c r="CV13" s="30">
        <f t="shared" si="1"/>
        <v>265706.88800000004</v>
      </c>
      <c r="CW13" s="30"/>
      <c r="CX13" s="30">
        <f t="shared" si="2"/>
        <v>0</v>
      </c>
      <c r="CY13" s="30">
        <f t="shared" si="3"/>
        <v>265706.88800000004</v>
      </c>
      <c r="CZ13" s="133"/>
      <c r="DA13" s="91">
        <f t="shared" si="4"/>
        <v>0</v>
      </c>
    </row>
    <row r="14" spans="1:105" ht="12.75">
      <c r="A14" s="104" t="s">
        <v>254</v>
      </c>
      <c r="B14" s="133">
        <v>532196.625</v>
      </c>
      <c r="C14" s="138"/>
      <c r="D14" s="133">
        <v>5247</v>
      </c>
      <c r="E14" s="138">
        <v>0</v>
      </c>
      <c r="F14" s="138">
        <v>0</v>
      </c>
      <c r="G14" s="138">
        <v>0</v>
      </c>
      <c r="H14" s="138">
        <v>0</v>
      </c>
      <c r="I14" s="138">
        <v>5247</v>
      </c>
      <c r="J14" s="133">
        <f>1675931.155+3910.055</f>
        <v>1679841.21</v>
      </c>
      <c r="K14" s="138"/>
      <c r="L14" s="133">
        <v>15339.57</v>
      </c>
      <c r="M14" s="138">
        <v>125649.442</v>
      </c>
      <c r="N14" s="138">
        <v>0</v>
      </c>
      <c r="O14" s="138">
        <v>0</v>
      </c>
      <c r="P14" s="133">
        <f>42834.079+281610.3</f>
        <v>324444.37899999996</v>
      </c>
      <c r="Q14" s="138">
        <v>191.183</v>
      </c>
      <c r="R14" s="133">
        <v>38451.721</v>
      </c>
      <c r="S14" s="138"/>
      <c r="T14" s="133">
        <v>0</v>
      </c>
      <c r="U14" s="138"/>
      <c r="V14" s="133">
        <v>0</v>
      </c>
      <c r="W14" s="138"/>
      <c r="X14" s="138"/>
      <c r="Y14" s="133">
        <v>109950.784</v>
      </c>
      <c r="Z14" s="138"/>
      <c r="AA14" s="133">
        <v>32355.975</v>
      </c>
      <c r="AB14" s="138"/>
      <c r="AC14" s="133">
        <v>0</v>
      </c>
      <c r="AD14" s="133">
        <v>19081.883</v>
      </c>
      <c r="AE14" s="138"/>
      <c r="AF14" s="133">
        <v>19454</v>
      </c>
      <c r="AG14" s="133">
        <v>0</v>
      </c>
      <c r="AH14" s="133">
        <v>5936.213</v>
      </c>
      <c r="AI14" s="133">
        <v>156.019</v>
      </c>
      <c r="AJ14" s="138">
        <v>0</v>
      </c>
      <c r="AK14" s="133">
        <v>3634.451</v>
      </c>
      <c r="AL14" s="138"/>
      <c r="AM14" s="133">
        <v>0</v>
      </c>
      <c r="AN14" s="138"/>
      <c r="AO14" s="133">
        <v>3709.74</v>
      </c>
      <c r="AP14" s="138"/>
      <c r="AQ14" s="133">
        <v>0</v>
      </c>
      <c r="AR14" s="133">
        <v>632.063</v>
      </c>
      <c r="AS14" s="138"/>
      <c r="AT14" s="133">
        <f>2206.457+741.341</f>
        <v>2947.798</v>
      </c>
      <c r="AU14" s="138"/>
      <c r="AV14" s="133">
        <v>0</v>
      </c>
      <c r="AW14" s="138"/>
      <c r="AX14" s="133">
        <v>37658.31</v>
      </c>
      <c r="AY14" s="133">
        <v>12933.516</v>
      </c>
      <c r="AZ14" s="138"/>
      <c r="BA14" s="133">
        <v>0</v>
      </c>
      <c r="BB14" s="133">
        <v>88.948</v>
      </c>
      <c r="BC14" s="138"/>
      <c r="BD14" s="133">
        <v>250</v>
      </c>
      <c r="BE14" s="138"/>
      <c r="BF14" s="133">
        <v>380615.71</v>
      </c>
      <c r="BG14" s="138"/>
      <c r="BH14" s="133">
        <v>0</v>
      </c>
      <c r="BI14" s="138"/>
      <c r="BJ14" s="133">
        <v>572386.308</v>
      </c>
      <c r="BK14" s="133">
        <v>967.249</v>
      </c>
      <c r="BL14" s="138">
        <v>995.207</v>
      </c>
      <c r="BM14" s="138"/>
      <c r="BN14" s="133">
        <v>0</v>
      </c>
      <c r="BO14" s="133">
        <v>16603.997</v>
      </c>
      <c r="BP14" s="133">
        <v>0</v>
      </c>
      <c r="BQ14" s="133">
        <v>0</v>
      </c>
      <c r="BR14" s="133">
        <v>68295.185</v>
      </c>
      <c r="BS14" s="138">
        <v>57079.726</v>
      </c>
      <c r="BT14" s="138">
        <v>11089.165</v>
      </c>
      <c r="BU14" s="138">
        <v>126.294</v>
      </c>
      <c r="BV14" s="133">
        <v>98330.542</v>
      </c>
      <c r="BW14" s="133">
        <v>1765.665</v>
      </c>
      <c r="BX14" s="133">
        <v>18420.975</v>
      </c>
      <c r="BY14" s="138"/>
      <c r="BZ14" s="133">
        <v>15091.439</v>
      </c>
      <c r="CA14" s="138">
        <v>0</v>
      </c>
      <c r="CB14" s="138">
        <f t="shared" si="0"/>
        <v>15091.439</v>
      </c>
      <c r="CC14" s="133">
        <f>130.054+6867.133</f>
        <v>6997.187</v>
      </c>
      <c r="CD14" s="133">
        <v>427.821</v>
      </c>
      <c r="CE14" s="138"/>
      <c r="CF14" s="133">
        <v>43.137</v>
      </c>
      <c r="CG14" s="133">
        <v>0</v>
      </c>
      <c r="CH14" s="133">
        <v>0</v>
      </c>
      <c r="CI14" s="133">
        <v>625.315</v>
      </c>
      <c r="CJ14" s="133">
        <v>0</v>
      </c>
      <c r="CK14" s="133">
        <f>6699.479+8900</f>
        <v>15599.479</v>
      </c>
      <c r="CL14" s="133">
        <v>0</v>
      </c>
      <c r="CM14" s="133">
        <v>207.637</v>
      </c>
      <c r="CN14" s="133">
        <v>0</v>
      </c>
      <c r="CO14" s="133">
        <v>0</v>
      </c>
      <c r="CP14" s="133">
        <v>1532.943</v>
      </c>
      <c r="CQ14" s="138"/>
      <c r="CR14" s="133">
        <v>11388.96</v>
      </c>
      <c r="CS14" s="133">
        <v>0</v>
      </c>
      <c r="CT14" s="133"/>
      <c r="CV14" s="30">
        <f t="shared" si="1"/>
        <v>4053609.753999999</v>
      </c>
      <c r="CW14" s="30"/>
      <c r="CX14" s="30">
        <f t="shared" si="2"/>
        <v>674425.331</v>
      </c>
      <c r="CY14" s="30">
        <f t="shared" si="3"/>
        <v>3379184.422999999</v>
      </c>
      <c r="CZ14" s="133"/>
      <c r="DA14" s="91">
        <f t="shared" si="4"/>
        <v>0</v>
      </c>
    </row>
    <row r="15" spans="1:105" ht="12.75">
      <c r="A15" s="108" t="s">
        <v>255</v>
      </c>
      <c r="B15" s="30">
        <f>SUM(B6:B14)</f>
        <v>18263654.097999997</v>
      </c>
      <c r="C15" s="103"/>
      <c r="D15" s="30">
        <f>SUM(D6:D14)+1</f>
        <v>23664449</v>
      </c>
      <c r="E15" s="103">
        <f>SUM(E6:E14)+1</f>
        <v>18167212</v>
      </c>
      <c r="F15" s="103">
        <f>SUM(F6:F14)+1</f>
        <v>4907073</v>
      </c>
      <c r="G15" s="103">
        <f>SUM(G6:G14)</f>
        <v>217849</v>
      </c>
      <c r="H15" s="103">
        <f>SUM(H6:H14)</f>
        <v>33020</v>
      </c>
      <c r="I15" s="103">
        <f>SUM(I6:I14)+1</f>
        <v>498542</v>
      </c>
      <c r="J15" s="30">
        <f aca="true" t="shared" si="5" ref="J15:V15">SUM(J6:J14)</f>
        <v>14075615.002</v>
      </c>
      <c r="K15" s="103"/>
      <c r="L15" s="30">
        <f t="shared" si="5"/>
        <v>17622864.716</v>
      </c>
      <c r="M15" s="103">
        <f t="shared" si="5"/>
        <v>17620608.667000003</v>
      </c>
      <c r="N15" s="103">
        <f t="shared" si="5"/>
        <v>95228.648</v>
      </c>
      <c r="O15" s="103">
        <f t="shared" si="5"/>
        <v>17337.273</v>
      </c>
      <c r="P15" s="30">
        <f t="shared" si="5"/>
        <v>9572708.75</v>
      </c>
      <c r="Q15" s="30">
        <f t="shared" si="5"/>
        <v>3012.918</v>
      </c>
      <c r="R15" s="30">
        <f t="shared" si="5"/>
        <v>4798220.721999999</v>
      </c>
      <c r="S15" s="103"/>
      <c r="T15" s="30">
        <f t="shared" si="5"/>
        <v>3370101.223</v>
      </c>
      <c r="U15" s="103"/>
      <c r="V15" s="30">
        <f t="shared" si="5"/>
        <v>4421072.9969999995</v>
      </c>
      <c r="W15" s="103"/>
      <c r="X15" s="103"/>
      <c r="Y15" s="30">
        <f aca="true" t="shared" si="6" ref="Y15:BV15">SUM(Y6:Y14)</f>
        <v>4112894.65</v>
      </c>
      <c r="Z15" s="103"/>
      <c r="AA15" s="30">
        <f t="shared" si="6"/>
        <v>3605544.3239999996</v>
      </c>
      <c r="AB15" s="103"/>
      <c r="AC15" s="30">
        <f t="shared" si="6"/>
        <v>6195206.95</v>
      </c>
      <c r="AD15" s="30">
        <f t="shared" si="6"/>
        <v>2716641.465</v>
      </c>
      <c r="AE15" s="103">
        <v>2594</v>
      </c>
      <c r="AF15" s="30">
        <f t="shared" si="6"/>
        <v>1939741</v>
      </c>
      <c r="AG15" s="30">
        <f t="shared" si="6"/>
        <v>3325291.9520000005</v>
      </c>
      <c r="AH15" s="30">
        <f t="shared" si="6"/>
        <v>7541132.652</v>
      </c>
      <c r="AI15" s="30">
        <f t="shared" si="6"/>
        <v>1635844.8960000002</v>
      </c>
      <c r="AJ15" s="103">
        <f t="shared" si="6"/>
        <v>56099.45</v>
      </c>
      <c r="AK15" s="30">
        <f t="shared" si="6"/>
        <v>1696301.389</v>
      </c>
      <c r="AL15" s="103"/>
      <c r="AM15" s="30">
        <f t="shared" si="6"/>
        <v>3455411.041</v>
      </c>
      <c r="AN15" s="103"/>
      <c r="AO15" s="30">
        <f t="shared" si="6"/>
        <v>4145986.7550000004</v>
      </c>
      <c r="AP15" s="103"/>
      <c r="AQ15" s="30">
        <f t="shared" si="6"/>
        <v>1889043.2310000004</v>
      </c>
      <c r="AR15" s="30">
        <f t="shared" si="6"/>
        <v>1437056.3890000002</v>
      </c>
      <c r="AS15" s="103"/>
      <c r="AT15" s="30">
        <f t="shared" si="6"/>
        <v>1243676.602</v>
      </c>
      <c r="AU15" s="103"/>
      <c r="AV15" s="30">
        <f t="shared" si="6"/>
        <v>4490252</v>
      </c>
      <c r="AW15" s="103"/>
      <c r="AX15" s="30">
        <f t="shared" si="6"/>
        <v>1294763.511</v>
      </c>
      <c r="AY15" s="30">
        <f t="shared" si="6"/>
        <v>1547865.197</v>
      </c>
      <c r="AZ15" s="103"/>
      <c r="BA15" s="30">
        <f t="shared" si="6"/>
        <v>2137691.18</v>
      </c>
      <c r="BB15" s="30">
        <f t="shared" si="6"/>
        <v>3337532.9529999997</v>
      </c>
      <c r="BC15" s="103"/>
      <c r="BD15" s="30">
        <f t="shared" si="6"/>
        <v>582969.244</v>
      </c>
      <c r="BE15" s="103"/>
      <c r="BF15" s="30">
        <f t="shared" si="6"/>
        <v>2084788.4389999998</v>
      </c>
      <c r="BG15" s="103"/>
      <c r="BH15" s="30">
        <f t="shared" si="6"/>
        <v>670694.608</v>
      </c>
      <c r="BI15" s="103"/>
      <c r="BJ15" s="30">
        <f t="shared" si="6"/>
        <v>2571811.391</v>
      </c>
      <c r="BK15" s="30">
        <f t="shared" si="6"/>
        <v>448034.05600000004</v>
      </c>
      <c r="BL15" s="103">
        <f>SUM(BL6:BL14)</f>
        <v>337924.952</v>
      </c>
      <c r="BM15" s="103">
        <f>SUM(BM6:BM14)</f>
        <v>110213.96399999999</v>
      </c>
      <c r="BN15" s="30">
        <f t="shared" si="6"/>
        <v>680611.89</v>
      </c>
      <c r="BO15" s="30">
        <f t="shared" si="6"/>
        <v>784230.1029999999</v>
      </c>
      <c r="BP15" s="30">
        <f t="shared" si="6"/>
        <v>598410.0150000001</v>
      </c>
      <c r="BQ15" s="30">
        <f t="shared" si="6"/>
        <v>302216.091</v>
      </c>
      <c r="BR15" s="30">
        <f t="shared" si="6"/>
        <v>1472292.199</v>
      </c>
      <c r="BS15" s="103">
        <f t="shared" si="6"/>
        <v>1272660.462</v>
      </c>
      <c r="BT15" s="103">
        <f t="shared" si="6"/>
        <v>175740.20599999998</v>
      </c>
      <c r="BU15" s="103">
        <f t="shared" si="6"/>
        <v>23891.531000000003</v>
      </c>
      <c r="BV15" s="30">
        <f t="shared" si="6"/>
        <v>463617.901</v>
      </c>
      <c r="BW15" s="30">
        <f aca="true" t="shared" si="7" ref="BW15:CS15">SUM(BW6:BW14)</f>
        <v>499627.37700000004</v>
      </c>
      <c r="BX15" s="30">
        <f t="shared" si="7"/>
        <v>1250694.3930000002</v>
      </c>
      <c r="BY15" s="103"/>
      <c r="BZ15" s="30">
        <f t="shared" si="7"/>
        <v>311110.28500000003</v>
      </c>
      <c r="CA15" s="103">
        <f t="shared" si="7"/>
        <v>50817.346</v>
      </c>
      <c r="CB15" s="103">
        <f t="shared" si="7"/>
        <v>260292.939</v>
      </c>
      <c r="CC15" s="30">
        <f t="shared" si="7"/>
        <v>251113.93799999997</v>
      </c>
      <c r="CD15" s="30">
        <f t="shared" si="7"/>
        <v>579929.746</v>
      </c>
      <c r="CE15" s="103"/>
      <c r="CF15" s="30">
        <f t="shared" si="7"/>
        <v>269969.44</v>
      </c>
      <c r="CG15" s="30">
        <f t="shared" si="7"/>
        <v>282781.66</v>
      </c>
      <c r="CH15" s="30">
        <f t="shared" si="7"/>
        <v>213544.695</v>
      </c>
      <c r="CI15" s="30">
        <f t="shared" si="7"/>
        <v>195048.729</v>
      </c>
      <c r="CJ15" s="30">
        <f t="shared" si="7"/>
        <v>148260.835</v>
      </c>
      <c r="CK15" s="30">
        <f t="shared" si="7"/>
        <v>172094.233</v>
      </c>
      <c r="CL15" s="30">
        <f t="shared" si="7"/>
        <v>70567.254</v>
      </c>
      <c r="CM15" s="30">
        <f t="shared" si="7"/>
        <v>78834.46</v>
      </c>
      <c r="CN15" s="30">
        <f t="shared" si="7"/>
        <v>35872.777</v>
      </c>
      <c r="CO15" s="30">
        <f t="shared" si="7"/>
        <v>101999.176</v>
      </c>
      <c r="CP15" s="30">
        <f t="shared" si="7"/>
        <v>38716.36</v>
      </c>
      <c r="CQ15" s="103"/>
      <c r="CR15" s="30">
        <f t="shared" si="7"/>
        <v>43797.13799999999</v>
      </c>
      <c r="CS15" s="30">
        <f t="shared" si="7"/>
        <v>1997.667</v>
      </c>
      <c r="CT15" s="30"/>
      <c r="CV15" s="30">
        <f t="shared" si="1"/>
        <v>168742200.745</v>
      </c>
      <c r="CW15" s="30"/>
      <c r="CX15" s="30">
        <f t="shared" si="2"/>
        <v>32050460.859</v>
      </c>
      <c r="CY15" s="30">
        <f t="shared" si="3"/>
        <v>136691739.88599998</v>
      </c>
      <c r="CZ15" s="30"/>
      <c r="DA15" s="91">
        <f t="shared" si="4"/>
        <v>0</v>
      </c>
    </row>
    <row r="16" spans="1:105" ht="8.25" customHeight="1">
      <c r="A16" s="46"/>
      <c r="CV16" s="30"/>
      <c r="CW16" s="30"/>
      <c r="CX16" s="30"/>
      <c r="CY16" s="30"/>
      <c r="DA16" s="91">
        <f t="shared" si="4"/>
        <v>0</v>
      </c>
    </row>
    <row r="17" spans="1:105" ht="12.75">
      <c r="A17" s="44" t="s">
        <v>256</v>
      </c>
      <c r="B17" s="133"/>
      <c r="C17" s="138"/>
      <c r="D17" s="133"/>
      <c r="E17" s="138"/>
      <c r="F17" s="138"/>
      <c r="G17" s="138"/>
      <c r="H17" s="138"/>
      <c r="I17" s="138"/>
      <c r="J17" s="133"/>
      <c r="K17" s="138"/>
      <c r="L17" s="133"/>
      <c r="M17" s="138"/>
      <c r="N17" s="138"/>
      <c r="O17" s="138"/>
      <c r="P17" s="133"/>
      <c r="Q17" s="138"/>
      <c r="R17" s="133"/>
      <c r="S17" s="138"/>
      <c r="T17" s="133"/>
      <c r="U17" s="138"/>
      <c r="V17" s="133"/>
      <c r="W17" s="138"/>
      <c r="X17" s="138"/>
      <c r="Y17" s="133"/>
      <c r="Z17" s="138"/>
      <c r="AA17" s="133"/>
      <c r="AB17" s="138"/>
      <c r="AC17" s="133"/>
      <c r="AD17" s="133"/>
      <c r="AE17" s="138"/>
      <c r="AF17" s="133"/>
      <c r="AG17" s="133"/>
      <c r="AH17" s="133"/>
      <c r="AI17" s="133"/>
      <c r="AJ17" s="138"/>
      <c r="AK17" s="133"/>
      <c r="AL17" s="138"/>
      <c r="AM17" s="133"/>
      <c r="AN17" s="138"/>
      <c r="AO17" s="133"/>
      <c r="AP17" s="138"/>
      <c r="AQ17" s="133"/>
      <c r="AR17" s="133"/>
      <c r="AS17" s="138"/>
      <c r="AT17" s="133"/>
      <c r="AU17" s="138"/>
      <c r="AV17" s="133"/>
      <c r="AW17" s="138"/>
      <c r="AX17" s="133"/>
      <c r="AY17" s="133"/>
      <c r="AZ17" s="138"/>
      <c r="BA17" s="133"/>
      <c r="BB17" s="133"/>
      <c r="BC17" s="138"/>
      <c r="BD17" s="133"/>
      <c r="BE17" s="138"/>
      <c r="BF17" s="133"/>
      <c r="BG17" s="138"/>
      <c r="BH17" s="133"/>
      <c r="BI17" s="138"/>
      <c r="BJ17" s="133"/>
      <c r="BK17" s="133"/>
      <c r="BL17" s="138"/>
      <c r="BM17" s="138"/>
      <c r="BN17" s="133"/>
      <c r="BO17" s="133"/>
      <c r="BP17" s="133"/>
      <c r="BQ17" s="133"/>
      <c r="BR17" s="133"/>
      <c r="BS17" s="138"/>
      <c r="BT17" s="138"/>
      <c r="BU17" s="138"/>
      <c r="BV17" s="133"/>
      <c r="BW17" s="133"/>
      <c r="BX17" s="133"/>
      <c r="BY17" s="138"/>
      <c r="BZ17" s="133"/>
      <c r="CA17" s="138"/>
      <c r="CB17" s="138"/>
      <c r="CC17" s="133"/>
      <c r="CD17" s="133"/>
      <c r="CE17" s="138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8"/>
      <c r="CR17" s="133"/>
      <c r="CS17" s="133"/>
      <c r="CT17" s="133"/>
      <c r="CV17" s="30"/>
      <c r="CW17" s="30"/>
      <c r="CX17" s="30"/>
      <c r="CY17" s="30"/>
      <c r="CZ17" s="133"/>
      <c r="DA17" s="91">
        <f t="shared" si="4"/>
        <v>0</v>
      </c>
    </row>
    <row r="18" spans="1:105" ht="12.75">
      <c r="A18" s="104" t="s">
        <v>216</v>
      </c>
      <c r="B18" s="133">
        <f>1553781.054+6145.27</f>
        <v>1559926.324</v>
      </c>
      <c r="C18" s="138"/>
      <c r="D18" s="133">
        <v>6306845</v>
      </c>
      <c r="E18" s="138">
        <v>6088128</v>
      </c>
      <c r="F18" s="138">
        <v>11364</v>
      </c>
      <c r="G18" s="138">
        <v>180309</v>
      </c>
      <c r="H18" s="138">
        <v>26437</v>
      </c>
      <c r="I18" s="138">
        <v>607</v>
      </c>
      <c r="J18" s="133">
        <v>1486244.251</v>
      </c>
      <c r="K18" s="138"/>
      <c r="L18" s="133">
        <v>1031280.693</v>
      </c>
      <c r="M18" s="138">
        <v>1029644.741</v>
      </c>
      <c r="N18" s="138">
        <v>0</v>
      </c>
      <c r="O18" s="138">
        <v>1635.952</v>
      </c>
      <c r="P18" s="133">
        <v>869400.301</v>
      </c>
      <c r="Q18" s="138">
        <v>0</v>
      </c>
      <c r="R18" s="133">
        <v>492050.204</v>
      </c>
      <c r="S18" s="138"/>
      <c r="T18" s="133">
        <v>170729.34</v>
      </c>
      <c r="U18" s="138"/>
      <c r="V18" s="133">
        <v>449000.636</v>
      </c>
      <c r="W18" s="138"/>
      <c r="X18" s="138"/>
      <c r="Y18" s="133">
        <v>149706.29</v>
      </c>
      <c r="Z18" s="138"/>
      <c r="AA18" s="133">
        <v>634033.34</v>
      </c>
      <c r="AB18" s="138"/>
      <c r="AC18" s="133">
        <v>269976.551</v>
      </c>
      <c r="AD18" s="133">
        <v>249312.13</v>
      </c>
      <c r="AE18" s="138"/>
      <c r="AF18" s="133">
        <v>162375</v>
      </c>
      <c r="AG18" s="133">
        <v>545555.843</v>
      </c>
      <c r="AH18" s="133">
        <v>357314.646</v>
      </c>
      <c r="AI18" s="133">
        <v>154061.948</v>
      </c>
      <c r="AJ18" s="138">
        <v>0</v>
      </c>
      <c r="AK18" s="133">
        <v>217818.664</v>
      </c>
      <c r="AL18" s="138"/>
      <c r="AM18" s="133">
        <v>87993.002</v>
      </c>
      <c r="AN18" s="138"/>
      <c r="AO18" s="133">
        <v>69343.56</v>
      </c>
      <c r="AP18" s="138"/>
      <c r="AQ18" s="133">
        <v>426362.475</v>
      </c>
      <c r="AR18" s="133">
        <v>222263.265</v>
      </c>
      <c r="AS18" s="138"/>
      <c r="AT18" s="133">
        <v>202809.302</v>
      </c>
      <c r="AU18" s="138"/>
      <c r="AV18" s="133">
        <v>80109</v>
      </c>
      <c r="AW18" s="138"/>
      <c r="AX18" s="133">
        <v>177790.261</v>
      </c>
      <c r="AY18" s="133">
        <v>32331.065</v>
      </c>
      <c r="AZ18" s="138"/>
      <c r="BA18" s="133">
        <v>116302.235</v>
      </c>
      <c r="BB18" s="133">
        <v>59757.555</v>
      </c>
      <c r="BC18" s="138"/>
      <c r="BD18" s="133">
        <v>124189.43</v>
      </c>
      <c r="BE18" s="138"/>
      <c r="BF18" s="133">
        <v>64643.926</v>
      </c>
      <c r="BG18" s="138"/>
      <c r="BH18" s="133">
        <v>118055.889</v>
      </c>
      <c r="BI18" s="138"/>
      <c r="BJ18" s="133">
        <v>924733.296</v>
      </c>
      <c r="BK18" s="133">
        <v>131250.502</v>
      </c>
      <c r="BL18" s="138">
        <f>76.902+103337.534</f>
        <v>103414.436</v>
      </c>
      <c r="BM18" s="138">
        <v>27912.968</v>
      </c>
      <c r="BN18" s="133">
        <v>52424.349</v>
      </c>
      <c r="BO18" s="133">
        <v>75781.211</v>
      </c>
      <c r="BP18" s="133">
        <v>34574.306</v>
      </c>
      <c r="BQ18" s="133">
        <v>36343.109</v>
      </c>
      <c r="BR18" s="133">
        <v>354.959</v>
      </c>
      <c r="BS18" s="138">
        <v>354.959</v>
      </c>
      <c r="BT18" s="138">
        <v>0</v>
      </c>
      <c r="BU18" s="138">
        <v>0</v>
      </c>
      <c r="BV18" s="133">
        <v>26254.269</v>
      </c>
      <c r="BW18" s="133">
        <v>53452.387</v>
      </c>
      <c r="BX18" s="133">
        <v>9230.738</v>
      </c>
      <c r="BY18" s="138"/>
      <c r="BZ18" s="133">
        <v>74996.877</v>
      </c>
      <c r="CA18" s="138">
        <v>0</v>
      </c>
      <c r="CB18" s="138">
        <f>+BZ18-CA18</f>
        <v>74996.877</v>
      </c>
      <c r="CC18" s="133">
        <v>63976.375</v>
      </c>
      <c r="CD18" s="133">
        <v>13434.936</v>
      </c>
      <c r="CE18" s="138"/>
      <c r="CF18" s="133">
        <v>103017.043</v>
      </c>
      <c r="CG18" s="133">
        <v>37898.083</v>
      </c>
      <c r="CH18" s="133">
        <f>41689.704+1529.21</f>
        <v>43218.914</v>
      </c>
      <c r="CI18" s="133">
        <v>33476.661</v>
      </c>
      <c r="CJ18" s="133">
        <v>23188.549</v>
      </c>
      <c r="CK18" s="133">
        <v>35203.925</v>
      </c>
      <c r="CL18" s="133">
        <f>33545.639+6.965</f>
        <v>33552.604</v>
      </c>
      <c r="CM18" s="133">
        <v>22800.509</v>
      </c>
      <c r="CN18" s="133">
        <v>18239.54</v>
      </c>
      <c r="CO18" s="133">
        <v>116567.437</v>
      </c>
      <c r="CP18" s="133">
        <v>0</v>
      </c>
      <c r="CQ18" s="138"/>
      <c r="CR18" s="133">
        <v>40899.864</v>
      </c>
      <c r="CS18" s="133">
        <v>1414.696</v>
      </c>
      <c r="CT18" s="133"/>
      <c r="CV18" s="30">
        <f t="shared" si="1"/>
        <v>18893867.264999997</v>
      </c>
      <c r="CW18" s="30"/>
      <c r="CX18" s="30">
        <f t="shared" si="2"/>
        <v>8201780.367999999</v>
      </c>
      <c r="CY18" s="30">
        <f t="shared" si="3"/>
        <v>10692086.897000004</v>
      </c>
      <c r="CZ18" s="133"/>
      <c r="DA18" s="91">
        <f t="shared" si="4"/>
        <v>0</v>
      </c>
    </row>
    <row r="19" spans="1:105" ht="12.75">
      <c r="A19" s="104" t="s">
        <v>257</v>
      </c>
      <c r="B19" s="133">
        <v>80216.808</v>
      </c>
      <c r="C19" s="138"/>
      <c r="D19" s="133">
        <v>43262</v>
      </c>
      <c r="E19" s="138">
        <v>29140</v>
      </c>
      <c r="F19" s="138">
        <v>13864</v>
      </c>
      <c r="G19" s="138">
        <v>66</v>
      </c>
      <c r="H19" s="138">
        <v>0</v>
      </c>
      <c r="I19" s="138">
        <v>191</v>
      </c>
      <c r="J19" s="133">
        <v>41943.369</v>
      </c>
      <c r="K19" s="138"/>
      <c r="L19" s="133">
        <v>112643.751</v>
      </c>
      <c r="M19" s="138">
        <v>112166.066</v>
      </c>
      <c r="N19" s="138">
        <v>285.104</v>
      </c>
      <c r="O19" s="138">
        <v>192.581</v>
      </c>
      <c r="P19" s="133">
        <v>18688.627</v>
      </c>
      <c r="Q19" s="138">
        <v>0</v>
      </c>
      <c r="R19" s="133">
        <v>17318.433</v>
      </c>
      <c r="S19" s="138"/>
      <c r="T19" s="133">
        <v>19644.109</v>
      </c>
      <c r="U19" s="138"/>
      <c r="V19" s="133">
        <v>4005.967</v>
      </c>
      <c r="W19" s="138"/>
      <c r="X19" s="138"/>
      <c r="Y19" s="133">
        <v>25829.416</v>
      </c>
      <c r="Z19" s="138"/>
      <c r="AA19" s="133">
        <v>21269.551</v>
      </c>
      <c r="AB19" s="138"/>
      <c r="AC19" s="133">
        <v>36071.595</v>
      </c>
      <c r="AD19" s="133">
        <v>11107.875</v>
      </c>
      <c r="AE19" s="138"/>
      <c r="AF19" s="133">
        <v>6010</v>
      </c>
      <c r="AG19" s="133">
        <v>-4973.232</v>
      </c>
      <c r="AH19" s="133">
        <v>197.727</v>
      </c>
      <c r="AI19" s="133">
        <v>20582.944</v>
      </c>
      <c r="AJ19" s="138">
        <v>0</v>
      </c>
      <c r="AK19" s="133">
        <v>10847.989</v>
      </c>
      <c r="AL19" s="138"/>
      <c r="AM19" s="133">
        <v>31139.512</v>
      </c>
      <c r="AN19" s="138"/>
      <c r="AO19" s="133">
        <v>2425.581</v>
      </c>
      <c r="AP19" s="138"/>
      <c r="AQ19" s="133">
        <v>5191.017</v>
      </c>
      <c r="AR19" s="133">
        <v>14139.059</v>
      </c>
      <c r="AS19" s="138"/>
      <c r="AT19" s="133">
        <v>4036.017</v>
      </c>
      <c r="AU19" s="138"/>
      <c r="AV19" s="133">
        <v>47820</v>
      </c>
      <c r="AW19" s="138"/>
      <c r="AX19" s="133">
        <v>0</v>
      </c>
      <c r="AY19" s="133">
        <v>851.023</v>
      </c>
      <c r="AZ19" s="138"/>
      <c r="BA19" s="133">
        <v>8613.549</v>
      </c>
      <c r="BB19" s="133">
        <v>19975.184</v>
      </c>
      <c r="BC19" s="138"/>
      <c r="BD19" s="133">
        <v>6526.521</v>
      </c>
      <c r="BE19" s="138"/>
      <c r="BF19" s="133">
        <v>26232.492</v>
      </c>
      <c r="BG19" s="138"/>
      <c r="BH19" s="133">
        <v>1558.625</v>
      </c>
      <c r="BI19" s="138"/>
      <c r="BJ19" s="133">
        <v>0</v>
      </c>
      <c r="BK19" s="133">
        <v>930.286</v>
      </c>
      <c r="BL19" s="138">
        <v>846.286</v>
      </c>
      <c r="BM19" s="138">
        <v>84</v>
      </c>
      <c r="BN19" s="133">
        <v>3233.568</v>
      </c>
      <c r="BO19" s="133">
        <v>1828.408</v>
      </c>
      <c r="BP19" s="133">
        <v>0</v>
      </c>
      <c r="BQ19" s="133">
        <v>4318.354</v>
      </c>
      <c r="BR19" s="133">
        <v>2158.194</v>
      </c>
      <c r="BS19" s="138">
        <v>1896.232</v>
      </c>
      <c r="BT19" s="138">
        <v>261.961</v>
      </c>
      <c r="BU19" s="138">
        <v>0</v>
      </c>
      <c r="BV19" s="133">
        <v>0</v>
      </c>
      <c r="BW19" s="133">
        <v>1293.523</v>
      </c>
      <c r="BX19" s="133">
        <v>4101.803</v>
      </c>
      <c r="BY19" s="138"/>
      <c r="BZ19" s="133">
        <v>1279.262</v>
      </c>
      <c r="CA19" s="138">
        <v>445.119</v>
      </c>
      <c r="CB19" s="138">
        <f>+BZ19-CA19</f>
        <v>834.1429999999999</v>
      </c>
      <c r="CC19" s="133">
        <v>645.928</v>
      </c>
      <c r="CD19" s="133">
        <v>4168.008</v>
      </c>
      <c r="CE19" s="138"/>
      <c r="CF19" s="133">
        <v>1048.395</v>
      </c>
      <c r="CG19" s="133">
        <v>1630.212</v>
      </c>
      <c r="CH19" s="133">
        <v>333.17</v>
      </c>
      <c r="CI19" s="133">
        <v>738.251</v>
      </c>
      <c r="CJ19" s="133">
        <v>55.573</v>
      </c>
      <c r="CK19" s="133">
        <v>0</v>
      </c>
      <c r="CL19" s="133">
        <v>0</v>
      </c>
      <c r="CM19" s="133">
        <v>0</v>
      </c>
      <c r="CN19" s="133">
        <v>641.394</v>
      </c>
      <c r="CO19" s="133">
        <v>1.883</v>
      </c>
      <c r="CP19" s="133">
        <v>405.855</v>
      </c>
      <c r="CQ19" s="138"/>
      <c r="CR19" s="133">
        <v>0</v>
      </c>
      <c r="CS19" s="133">
        <v>0</v>
      </c>
      <c r="CT19" s="133"/>
      <c r="CV19" s="30">
        <f t="shared" si="1"/>
        <v>661987.5760000001</v>
      </c>
      <c r="CW19" s="30"/>
      <c r="CX19" s="30">
        <f t="shared" si="2"/>
        <v>59795.021</v>
      </c>
      <c r="CY19" s="30">
        <f t="shared" si="3"/>
        <v>602192.555</v>
      </c>
      <c r="CZ19" s="133"/>
      <c r="DA19" s="91">
        <f t="shared" si="4"/>
        <v>0</v>
      </c>
    </row>
    <row r="20" spans="1:105" ht="12.75">
      <c r="A20" s="104" t="s">
        <v>258</v>
      </c>
      <c r="B20" s="133">
        <v>87217.812</v>
      </c>
      <c r="C20" s="138"/>
      <c r="D20" s="133">
        <v>74489</v>
      </c>
      <c r="E20" s="138">
        <v>60673</v>
      </c>
      <c r="F20" s="138">
        <v>11934</v>
      </c>
      <c r="G20" s="138">
        <v>1557</v>
      </c>
      <c r="H20" s="138">
        <v>326</v>
      </c>
      <c r="I20" s="138">
        <v>0</v>
      </c>
      <c r="J20" s="133">
        <v>83954.71</v>
      </c>
      <c r="K20" s="138"/>
      <c r="L20" s="133">
        <v>65612.996</v>
      </c>
      <c r="M20" s="138">
        <v>65334.029</v>
      </c>
      <c r="N20" s="138">
        <v>190.069</v>
      </c>
      <c r="O20" s="138">
        <v>88.898</v>
      </c>
      <c r="P20" s="133">
        <v>49546.642</v>
      </c>
      <c r="Q20" s="138">
        <v>0</v>
      </c>
      <c r="R20" s="133">
        <v>33967.757</v>
      </c>
      <c r="S20" s="138"/>
      <c r="T20" s="133">
        <v>19645.077</v>
      </c>
      <c r="U20" s="138"/>
      <c r="V20" s="133">
        <v>19105.762</v>
      </c>
      <c r="W20" s="138"/>
      <c r="X20" s="138"/>
      <c r="Y20" s="133">
        <v>25028.839</v>
      </c>
      <c r="Z20" s="138"/>
      <c r="AA20" s="133">
        <v>29066.387</v>
      </c>
      <c r="AB20" s="138"/>
      <c r="AC20" s="133">
        <v>41250.119</v>
      </c>
      <c r="AD20" s="133">
        <v>26236.707</v>
      </c>
      <c r="AE20" s="138"/>
      <c r="AF20" s="133">
        <v>14915</v>
      </c>
      <c r="AG20" s="133">
        <v>21180.535</v>
      </c>
      <c r="AH20" s="133">
        <v>42001.186</v>
      </c>
      <c r="AI20" s="133">
        <v>23513.187</v>
      </c>
      <c r="AJ20" s="138">
        <v>990.58</v>
      </c>
      <c r="AK20" s="133">
        <v>16565.586</v>
      </c>
      <c r="AL20" s="138"/>
      <c r="AM20" s="133">
        <v>12041.232</v>
      </c>
      <c r="AN20" s="138"/>
      <c r="AO20" s="133">
        <v>5390.633</v>
      </c>
      <c r="AP20" s="138"/>
      <c r="AQ20" s="133">
        <v>7078.683</v>
      </c>
      <c r="AR20" s="133">
        <v>11353.307</v>
      </c>
      <c r="AS20" s="138"/>
      <c r="AT20" s="133">
        <v>5144.145</v>
      </c>
      <c r="AU20" s="138"/>
      <c r="AV20" s="133">
        <v>867</v>
      </c>
      <c r="AW20" s="138"/>
      <c r="AX20" s="133">
        <v>1933.365</v>
      </c>
      <c r="AY20" s="133">
        <v>5401.717</v>
      </c>
      <c r="AZ20" s="138"/>
      <c r="BA20" s="133">
        <v>10230.271</v>
      </c>
      <c r="BB20" s="133">
        <v>1533.331</v>
      </c>
      <c r="BC20" s="138"/>
      <c r="BD20" s="133">
        <v>6742.998</v>
      </c>
      <c r="BE20" s="138"/>
      <c r="BF20" s="133">
        <v>6532.283</v>
      </c>
      <c r="BG20" s="138"/>
      <c r="BH20" s="133">
        <v>1904.986</v>
      </c>
      <c r="BI20" s="138"/>
      <c r="BJ20" s="133">
        <v>26335.059</v>
      </c>
      <c r="BK20" s="133">
        <v>4621.411</v>
      </c>
      <c r="BL20" s="138">
        <v>4114.954</v>
      </c>
      <c r="BM20" s="138">
        <v>506.457</v>
      </c>
      <c r="BN20" s="133">
        <v>2189.538</v>
      </c>
      <c r="BO20" s="133">
        <v>1110.93</v>
      </c>
      <c r="BP20" s="133">
        <v>4930.779</v>
      </c>
      <c r="BQ20" s="133">
        <v>2952.806</v>
      </c>
      <c r="BR20" s="133">
        <v>20536.768</v>
      </c>
      <c r="BS20" s="138">
        <v>18044.015</v>
      </c>
      <c r="BT20" s="138">
        <v>2492.751</v>
      </c>
      <c r="BU20" s="138">
        <v>0</v>
      </c>
      <c r="BV20" s="133">
        <v>2175.63</v>
      </c>
      <c r="BW20" s="133">
        <v>3830.514</v>
      </c>
      <c r="BX20" s="133">
        <v>4421.503</v>
      </c>
      <c r="BY20" s="138"/>
      <c r="BZ20" s="133">
        <v>10166.406</v>
      </c>
      <c r="CA20" s="138">
        <v>6853.159</v>
      </c>
      <c r="CB20" s="138">
        <f>+BZ20-CA20</f>
        <v>3313.247000000001</v>
      </c>
      <c r="CC20" s="133">
        <v>2495.286</v>
      </c>
      <c r="CD20" s="133">
        <v>1263.87</v>
      </c>
      <c r="CE20" s="138"/>
      <c r="CF20" s="133">
        <v>3474.065</v>
      </c>
      <c r="CG20" s="133">
        <v>1168.15</v>
      </c>
      <c r="CH20" s="133">
        <v>1496.69</v>
      </c>
      <c r="CI20" s="133">
        <v>625.19</v>
      </c>
      <c r="CJ20" s="133">
        <v>2143.608</v>
      </c>
      <c r="CK20" s="133">
        <v>1172.958</v>
      </c>
      <c r="CL20" s="133">
        <f>404.922+8.606</f>
        <v>413.528</v>
      </c>
      <c r="CM20" s="133">
        <v>1893.842</v>
      </c>
      <c r="CN20" s="133">
        <v>641.395</v>
      </c>
      <c r="CO20" s="133">
        <v>2267.317</v>
      </c>
      <c r="CP20" s="133">
        <v>811.712</v>
      </c>
      <c r="CQ20" s="138"/>
      <c r="CR20" s="133">
        <v>690.554</v>
      </c>
      <c r="CS20" s="133">
        <v>0</v>
      </c>
      <c r="CT20" s="133"/>
      <c r="CV20" s="30">
        <f t="shared" si="1"/>
        <v>853280.7619999999</v>
      </c>
      <c r="CW20" s="30"/>
      <c r="CX20" s="30">
        <f t="shared" si="2"/>
        <v>156904.899</v>
      </c>
      <c r="CY20" s="30">
        <f t="shared" si="3"/>
        <v>696375.8629999999</v>
      </c>
      <c r="CZ20" s="133"/>
      <c r="DA20" s="91">
        <f t="shared" si="4"/>
        <v>0</v>
      </c>
    </row>
    <row r="21" spans="1:105" ht="12.75">
      <c r="A21" s="104" t="s">
        <v>259</v>
      </c>
      <c r="B21" s="133">
        <v>0</v>
      </c>
      <c r="C21" s="138"/>
      <c r="D21" s="133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3">
        <v>0</v>
      </c>
      <c r="K21" s="138"/>
      <c r="L21" s="133">
        <v>0</v>
      </c>
      <c r="M21" s="138">
        <v>0</v>
      </c>
      <c r="N21" s="138">
        <v>0</v>
      </c>
      <c r="O21" s="138">
        <v>0</v>
      </c>
      <c r="P21" s="133">
        <v>0</v>
      </c>
      <c r="Q21" s="138">
        <v>0</v>
      </c>
      <c r="R21" s="133">
        <v>0</v>
      </c>
      <c r="S21" s="138"/>
      <c r="T21" s="133">
        <v>0</v>
      </c>
      <c r="U21" s="138"/>
      <c r="V21" s="133">
        <v>0</v>
      </c>
      <c r="W21" s="138"/>
      <c r="X21" s="138"/>
      <c r="Y21" s="133">
        <v>0</v>
      </c>
      <c r="Z21" s="138"/>
      <c r="AA21" s="133">
        <v>0</v>
      </c>
      <c r="AB21" s="138"/>
      <c r="AC21" s="133">
        <v>0</v>
      </c>
      <c r="AD21" s="133">
        <v>0</v>
      </c>
      <c r="AE21" s="138"/>
      <c r="AF21" s="133">
        <v>0</v>
      </c>
      <c r="AG21" s="133">
        <v>0</v>
      </c>
      <c r="AH21" s="133">
        <v>0</v>
      </c>
      <c r="AI21" s="133">
        <v>0</v>
      </c>
      <c r="AJ21" s="138">
        <v>0</v>
      </c>
      <c r="AK21" s="133">
        <v>0</v>
      </c>
      <c r="AL21" s="138"/>
      <c r="AM21" s="133">
        <v>0</v>
      </c>
      <c r="AN21" s="138"/>
      <c r="AO21" s="133">
        <v>0</v>
      </c>
      <c r="AP21" s="138"/>
      <c r="AQ21" s="133">
        <v>0</v>
      </c>
      <c r="AR21" s="133">
        <v>0</v>
      </c>
      <c r="AS21" s="138"/>
      <c r="AT21" s="133">
        <v>0</v>
      </c>
      <c r="AU21" s="138"/>
      <c r="AV21" s="133">
        <v>0</v>
      </c>
      <c r="AW21" s="138"/>
      <c r="AX21" s="133">
        <v>0</v>
      </c>
      <c r="AY21" s="133">
        <v>0</v>
      </c>
      <c r="AZ21" s="138"/>
      <c r="BA21" s="133">
        <v>0</v>
      </c>
      <c r="BB21" s="133">
        <v>0</v>
      </c>
      <c r="BC21" s="138"/>
      <c r="BD21" s="133">
        <v>0</v>
      </c>
      <c r="BE21" s="138"/>
      <c r="BF21" s="133">
        <v>0</v>
      </c>
      <c r="BG21" s="138"/>
      <c r="BH21" s="133">
        <v>0</v>
      </c>
      <c r="BI21" s="138"/>
      <c r="BJ21" s="133">
        <v>0</v>
      </c>
      <c r="BK21" s="133">
        <v>0</v>
      </c>
      <c r="BL21" s="138"/>
      <c r="BM21" s="138"/>
      <c r="BN21" s="133">
        <v>0</v>
      </c>
      <c r="BO21" s="133">
        <v>0</v>
      </c>
      <c r="BP21" s="133">
        <v>0</v>
      </c>
      <c r="BQ21" s="133">
        <v>0</v>
      </c>
      <c r="BR21" s="133">
        <v>0</v>
      </c>
      <c r="BS21" s="138">
        <v>0</v>
      </c>
      <c r="BT21" s="138">
        <v>0</v>
      </c>
      <c r="BU21" s="138">
        <v>0</v>
      </c>
      <c r="BV21" s="133">
        <v>0</v>
      </c>
      <c r="BW21" s="133">
        <v>0</v>
      </c>
      <c r="BX21" s="133">
        <v>0</v>
      </c>
      <c r="BY21" s="138"/>
      <c r="BZ21" s="133">
        <v>0</v>
      </c>
      <c r="CA21" s="138">
        <v>0</v>
      </c>
      <c r="CB21" s="138">
        <f>+BZ21-CA21</f>
        <v>0</v>
      </c>
      <c r="CC21" s="133">
        <v>0</v>
      </c>
      <c r="CD21" s="133">
        <v>0</v>
      </c>
      <c r="CE21" s="138"/>
      <c r="CF21" s="133">
        <v>0</v>
      </c>
      <c r="CG21" s="133">
        <v>0</v>
      </c>
      <c r="CH21" s="133"/>
      <c r="CI21" s="133">
        <v>0</v>
      </c>
      <c r="CJ21" s="133">
        <v>0</v>
      </c>
      <c r="CK21" s="133">
        <v>0</v>
      </c>
      <c r="CL21" s="133">
        <v>0</v>
      </c>
      <c r="CM21" s="133">
        <v>0</v>
      </c>
      <c r="CN21" s="133">
        <v>0</v>
      </c>
      <c r="CO21" s="133">
        <v>0</v>
      </c>
      <c r="CP21" s="133">
        <v>0</v>
      </c>
      <c r="CQ21" s="138"/>
      <c r="CR21" s="133">
        <v>0</v>
      </c>
      <c r="CS21" s="133">
        <v>0</v>
      </c>
      <c r="CT21" s="133"/>
      <c r="CV21" s="30">
        <f t="shared" si="1"/>
        <v>0</v>
      </c>
      <c r="CW21" s="30"/>
      <c r="CX21" s="30">
        <f t="shared" si="2"/>
        <v>0</v>
      </c>
      <c r="CY21" s="30">
        <f t="shared" si="3"/>
        <v>0</v>
      </c>
      <c r="CZ21" s="133"/>
      <c r="DA21" s="91">
        <f t="shared" si="4"/>
        <v>0</v>
      </c>
    </row>
    <row r="22" spans="1:105" ht="12.75">
      <c r="A22" s="104" t="s">
        <v>260</v>
      </c>
      <c r="B22" s="133">
        <v>951627.468</v>
      </c>
      <c r="C22" s="138"/>
      <c r="D22" s="133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3">
        <v>1958285.901</v>
      </c>
      <c r="K22" s="138"/>
      <c r="L22" s="133">
        <v>1690.876</v>
      </c>
      <c r="M22" s="138">
        <v>1690.876</v>
      </c>
      <c r="N22" s="138">
        <v>94753.475</v>
      </c>
      <c r="O22" s="138">
        <v>15556.397</v>
      </c>
      <c r="P22" s="133">
        <f>5883.741</f>
        <v>5883.741</v>
      </c>
      <c r="Q22" s="138">
        <v>0</v>
      </c>
      <c r="R22" s="133">
        <v>0</v>
      </c>
      <c r="S22" s="138"/>
      <c r="T22" s="133">
        <v>0</v>
      </c>
      <c r="U22" s="138"/>
      <c r="V22" s="133">
        <v>31223.603</v>
      </c>
      <c r="W22" s="138"/>
      <c r="X22" s="138"/>
      <c r="Y22" s="133">
        <f>17869.268+40671.847</f>
        <v>58541.115000000005</v>
      </c>
      <c r="Z22" s="138"/>
      <c r="AA22" s="133">
        <v>0</v>
      </c>
      <c r="AB22" s="138"/>
      <c r="AC22" s="133">
        <v>6508.182</v>
      </c>
      <c r="AD22" s="133">
        <v>53.73</v>
      </c>
      <c r="AE22" s="138"/>
      <c r="AF22" s="133">
        <v>8455</v>
      </c>
      <c r="AG22" s="133">
        <v>0</v>
      </c>
      <c r="AH22" s="133"/>
      <c r="AI22" s="133">
        <v>1940.132</v>
      </c>
      <c r="AJ22" s="138">
        <v>4122.028</v>
      </c>
      <c r="AK22" s="133">
        <v>0</v>
      </c>
      <c r="AL22" s="138"/>
      <c r="AM22" s="133">
        <v>0</v>
      </c>
      <c r="AN22" s="138"/>
      <c r="AO22" s="133">
        <v>1315.38</v>
      </c>
      <c r="AP22" s="138"/>
      <c r="AQ22" s="133">
        <v>0</v>
      </c>
      <c r="AR22" s="133">
        <v>0</v>
      </c>
      <c r="AS22" s="138"/>
      <c r="AT22" s="133">
        <v>0</v>
      </c>
      <c r="AU22" s="138"/>
      <c r="AV22" s="133">
        <v>2106</v>
      </c>
      <c r="AW22" s="138"/>
      <c r="AX22" s="133">
        <v>54083.302</v>
      </c>
      <c r="AY22" s="133">
        <v>410.584</v>
      </c>
      <c r="AZ22" s="138"/>
      <c r="BA22" s="133">
        <v>883.509</v>
      </c>
      <c r="BB22" s="133">
        <v>131822.445</v>
      </c>
      <c r="BC22" s="138"/>
      <c r="BD22" s="133">
        <v>0</v>
      </c>
      <c r="BE22" s="138"/>
      <c r="BF22" s="133">
        <v>0</v>
      </c>
      <c r="BG22" s="138"/>
      <c r="BH22" s="133">
        <v>246.58</v>
      </c>
      <c r="BI22" s="138"/>
      <c r="BJ22" s="133">
        <v>0</v>
      </c>
      <c r="BK22" s="133">
        <v>2152.684</v>
      </c>
      <c r="BL22" s="138">
        <v>0</v>
      </c>
      <c r="BM22" s="138">
        <v>2180.642</v>
      </c>
      <c r="BN22" s="133">
        <v>174116.605</v>
      </c>
      <c r="BO22" s="133">
        <v>0</v>
      </c>
      <c r="BP22" s="133">
        <v>100.365</v>
      </c>
      <c r="BQ22" s="133">
        <v>2185.338</v>
      </c>
      <c r="BR22" s="133">
        <v>0</v>
      </c>
      <c r="BS22" s="138">
        <v>0</v>
      </c>
      <c r="BT22" s="138">
        <v>0</v>
      </c>
      <c r="BU22" s="138">
        <v>0</v>
      </c>
      <c r="BV22" s="133">
        <v>0</v>
      </c>
      <c r="BW22" s="133">
        <v>3957.568</v>
      </c>
      <c r="BX22" s="133">
        <v>0</v>
      </c>
      <c r="BY22" s="138"/>
      <c r="BZ22" s="133">
        <v>0</v>
      </c>
      <c r="CA22" s="138">
        <v>0</v>
      </c>
      <c r="CB22" s="138">
        <f>+BZ22-CA22</f>
        <v>0</v>
      </c>
      <c r="CC22" s="133">
        <v>0</v>
      </c>
      <c r="CD22" s="133">
        <v>11866.328</v>
      </c>
      <c r="CE22" s="138"/>
      <c r="CF22" s="133">
        <v>0</v>
      </c>
      <c r="CG22" s="133">
        <v>0</v>
      </c>
      <c r="CH22" s="133">
        <f>136.785+3.027</f>
        <v>139.81199999999998</v>
      </c>
      <c r="CI22" s="133">
        <v>-7140.502</v>
      </c>
      <c r="CJ22" s="133">
        <v>0</v>
      </c>
      <c r="CK22" s="133">
        <v>0</v>
      </c>
      <c r="CL22" s="133">
        <v>0</v>
      </c>
      <c r="CM22" s="133">
        <v>0</v>
      </c>
      <c r="CN22" s="133">
        <v>4457.205</v>
      </c>
      <c r="CO22" s="133">
        <f>0.399+95.672</f>
        <v>96.071</v>
      </c>
      <c r="CP22" s="133">
        <v>30807.197</v>
      </c>
      <c r="CQ22" s="138"/>
      <c r="CR22" s="133">
        <v>0</v>
      </c>
      <c r="CS22" s="133">
        <v>283.949</v>
      </c>
      <c r="CT22" s="133"/>
      <c r="CV22" s="30">
        <f t="shared" si="1"/>
        <v>3438100.168000001</v>
      </c>
      <c r="CW22" s="30"/>
      <c r="CX22" s="30">
        <f t="shared" si="2"/>
        <v>182627.449</v>
      </c>
      <c r="CY22" s="30">
        <f t="shared" si="3"/>
        <v>3255472.719000001</v>
      </c>
      <c r="CZ22" s="133"/>
      <c r="DA22" s="91">
        <f t="shared" si="4"/>
        <v>0</v>
      </c>
    </row>
    <row r="23" spans="1:105" ht="12.75">
      <c r="A23" s="108" t="s">
        <v>261</v>
      </c>
      <c r="B23" s="30">
        <f aca="true" t="shared" si="8" ref="B23:I23">SUM(B18:B22)</f>
        <v>2678988.412</v>
      </c>
      <c r="C23" s="103"/>
      <c r="D23" s="30">
        <f t="shared" si="8"/>
        <v>6424596</v>
      </c>
      <c r="E23" s="103">
        <f>SUM(E18:E22)+1</f>
        <v>6177942</v>
      </c>
      <c r="F23" s="103">
        <f>SUM(F18:F22)-1</f>
        <v>37161</v>
      </c>
      <c r="G23" s="103">
        <f t="shared" si="8"/>
        <v>181932</v>
      </c>
      <c r="H23" s="103">
        <f t="shared" si="8"/>
        <v>26763</v>
      </c>
      <c r="I23" s="103">
        <f t="shared" si="8"/>
        <v>798</v>
      </c>
      <c r="J23" s="30">
        <f aca="true" t="shared" si="9" ref="J23:V23">SUM(J18:J22)</f>
        <v>3570428.2309999997</v>
      </c>
      <c r="K23" s="103"/>
      <c r="L23" s="30">
        <f t="shared" si="9"/>
        <v>1211228.3159999999</v>
      </c>
      <c r="M23" s="103">
        <f t="shared" si="9"/>
        <v>1208835.712</v>
      </c>
      <c r="N23" s="103">
        <f t="shared" si="9"/>
        <v>95228.648</v>
      </c>
      <c r="O23" s="103">
        <f t="shared" si="9"/>
        <v>17473.828</v>
      </c>
      <c r="P23" s="103">
        <f t="shared" si="9"/>
        <v>943519.311</v>
      </c>
      <c r="Q23" s="103">
        <f t="shared" si="9"/>
        <v>0</v>
      </c>
      <c r="R23" s="30">
        <f t="shared" si="9"/>
        <v>543336.3940000001</v>
      </c>
      <c r="S23" s="103"/>
      <c r="T23" s="30">
        <f t="shared" si="9"/>
        <v>210018.52599999998</v>
      </c>
      <c r="U23" s="103"/>
      <c r="V23" s="30">
        <f t="shared" si="9"/>
        <v>503335.968</v>
      </c>
      <c r="W23" s="103"/>
      <c r="X23" s="103"/>
      <c r="Y23" s="30">
        <f aca="true" t="shared" si="10" ref="Y23:BV23">SUM(Y18:Y22)</f>
        <v>259105.66000000003</v>
      </c>
      <c r="Z23" s="103"/>
      <c r="AA23" s="30">
        <f t="shared" si="10"/>
        <v>684369.2779999999</v>
      </c>
      <c r="AB23" s="103"/>
      <c r="AC23" s="30">
        <f t="shared" si="10"/>
        <v>353806.4469999999</v>
      </c>
      <c r="AD23" s="30">
        <f t="shared" si="10"/>
        <v>286710.442</v>
      </c>
      <c r="AE23" s="103">
        <v>16</v>
      </c>
      <c r="AF23" s="30">
        <f t="shared" si="10"/>
        <v>191755</v>
      </c>
      <c r="AG23" s="30">
        <f t="shared" si="10"/>
        <v>561763.1460000001</v>
      </c>
      <c r="AH23" s="30">
        <f t="shared" si="10"/>
        <v>399513.559</v>
      </c>
      <c r="AI23" s="30">
        <f t="shared" si="10"/>
        <v>200098.211</v>
      </c>
      <c r="AJ23" s="103">
        <f t="shared" si="10"/>
        <v>5112.608</v>
      </c>
      <c r="AK23" s="30">
        <f t="shared" si="10"/>
        <v>245232.239</v>
      </c>
      <c r="AL23" s="103"/>
      <c r="AM23" s="30">
        <f t="shared" si="10"/>
        <v>131173.74599999998</v>
      </c>
      <c r="AN23" s="103"/>
      <c r="AO23" s="30">
        <f t="shared" si="10"/>
        <v>78475.15400000001</v>
      </c>
      <c r="AP23" s="103"/>
      <c r="AQ23" s="30">
        <f t="shared" si="10"/>
        <v>438632.175</v>
      </c>
      <c r="AR23" s="30">
        <f t="shared" si="10"/>
        <v>247755.63100000002</v>
      </c>
      <c r="AS23" s="103"/>
      <c r="AT23" s="30">
        <f t="shared" si="10"/>
        <v>211989.46399999998</v>
      </c>
      <c r="AU23" s="103"/>
      <c r="AV23" s="30">
        <f t="shared" si="10"/>
        <v>130902</v>
      </c>
      <c r="AW23" s="103"/>
      <c r="AX23" s="30">
        <f t="shared" si="10"/>
        <v>233806.92799999999</v>
      </c>
      <c r="AY23" s="30">
        <f t="shared" si="10"/>
        <v>38994.388999999996</v>
      </c>
      <c r="AZ23" s="103"/>
      <c r="BA23" s="30">
        <f t="shared" si="10"/>
        <v>136029.56399999998</v>
      </c>
      <c r="BB23" s="30">
        <f t="shared" si="10"/>
        <v>213088.515</v>
      </c>
      <c r="BC23" s="103"/>
      <c r="BD23" s="30">
        <f t="shared" si="10"/>
        <v>137458.949</v>
      </c>
      <c r="BE23" s="103"/>
      <c r="BF23" s="30">
        <f t="shared" si="10"/>
        <v>97408.701</v>
      </c>
      <c r="BG23" s="103"/>
      <c r="BH23" s="30">
        <f t="shared" si="10"/>
        <v>121766.08</v>
      </c>
      <c r="BI23" s="103"/>
      <c r="BJ23" s="30">
        <f t="shared" si="10"/>
        <v>951068.355</v>
      </c>
      <c r="BK23" s="30">
        <f t="shared" si="10"/>
        <v>138954.883</v>
      </c>
      <c r="BL23" s="103">
        <f>SUM(BL18:BL22)</f>
        <v>108375.67599999999</v>
      </c>
      <c r="BM23" s="103">
        <f>SUM(BM18:BM22)</f>
        <v>30684.067</v>
      </c>
      <c r="BN23" s="30">
        <f t="shared" si="10"/>
        <v>231964.06</v>
      </c>
      <c r="BO23" s="30">
        <f t="shared" si="10"/>
        <v>78720.54899999998</v>
      </c>
      <c r="BP23" s="30">
        <f t="shared" si="10"/>
        <v>39605.45</v>
      </c>
      <c r="BQ23" s="30">
        <f t="shared" si="10"/>
        <v>45799.606999999996</v>
      </c>
      <c r="BR23" s="30">
        <f t="shared" si="10"/>
        <v>23049.921</v>
      </c>
      <c r="BS23" s="103">
        <f t="shared" si="10"/>
        <v>20295.206</v>
      </c>
      <c r="BT23" s="103">
        <f t="shared" si="10"/>
        <v>2754.7120000000004</v>
      </c>
      <c r="BU23" s="103">
        <f t="shared" si="10"/>
        <v>0</v>
      </c>
      <c r="BV23" s="30">
        <f t="shared" si="10"/>
        <v>28429.899</v>
      </c>
      <c r="BW23" s="30">
        <f aca="true" t="shared" si="11" ref="BW23:CS23">SUM(BW18:BW22)</f>
        <v>62533.992000000006</v>
      </c>
      <c r="BX23" s="30">
        <f t="shared" si="11"/>
        <v>17754.043999999998</v>
      </c>
      <c r="BY23" s="103"/>
      <c r="BZ23" s="30">
        <f t="shared" si="11"/>
        <v>86442.545</v>
      </c>
      <c r="CA23" s="103">
        <f t="shared" si="11"/>
        <v>7298.277999999999</v>
      </c>
      <c r="CB23" s="103">
        <f t="shared" si="11"/>
        <v>79144.26699999999</v>
      </c>
      <c r="CC23" s="30">
        <f t="shared" si="11"/>
        <v>67117.589</v>
      </c>
      <c r="CD23" s="30">
        <f t="shared" si="11"/>
        <v>30733.142</v>
      </c>
      <c r="CE23" s="103"/>
      <c r="CF23" s="30">
        <f t="shared" si="11"/>
        <v>107539.50300000001</v>
      </c>
      <c r="CG23" s="30">
        <f t="shared" si="11"/>
        <v>40696.445</v>
      </c>
      <c r="CH23" s="30">
        <f t="shared" si="11"/>
        <v>45188.585999999996</v>
      </c>
      <c r="CI23" s="30">
        <f t="shared" si="11"/>
        <v>27699.6</v>
      </c>
      <c r="CJ23" s="30">
        <f t="shared" si="11"/>
        <v>25387.73</v>
      </c>
      <c r="CK23" s="30">
        <f t="shared" si="11"/>
        <v>36376.883</v>
      </c>
      <c r="CL23" s="30">
        <f t="shared" si="11"/>
        <v>33966.132</v>
      </c>
      <c r="CM23" s="30">
        <f t="shared" si="11"/>
        <v>24694.351</v>
      </c>
      <c r="CN23" s="30">
        <f t="shared" si="11"/>
        <v>23979.534</v>
      </c>
      <c r="CO23" s="30">
        <f t="shared" si="11"/>
        <v>118932.708</v>
      </c>
      <c r="CP23" s="30">
        <f t="shared" si="11"/>
        <v>32024.764</v>
      </c>
      <c r="CQ23" s="103"/>
      <c r="CR23" s="30">
        <f t="shared" si="11"/>
        <v>41590.418</v>
      </c>
      <c r="CS23" s="30">
        <f t="shared" si="11"/>
        <v>1698.645</v>
      </c>
      <c r="CT23" s="30"/>
      <c r="CV23" s="30">
        <f t="shared" si="1"/>
        <v>23847235.77100001</v>
      </c>
      <c r="CW23" s="30"/>
      <c r="CX23" s="30">
        <f t="shared" si="2"/>
        <v>8601107.736999998</v>
      </c>
      <c r="CY23" s="30">
        <f t="shared" si="3"/>
        <v>15246128.033999994</v>
      </c>
      <c r="CZ23" s="30"/>
      <c r="DA23" s="30">
        <f t="shared" si="4"/>
        <v>1.6763806343078613E-08</v>
      </c>
    </row>
    <row r="24" spans="1:105" ht="8.25" customHeight="1">
      <c r="A24" s="46"/>
      <c r="CV24" s="30"/>
      <c r="CW24" s="30"/>
      <c r="CX24" s="30"/>
      <c r="CY24" s="30"/>
      <c r="DA24" s="91">
        <f t="shared" si="4"/>
        <v>0</v>
      </c>
    </row>
    <row r="25" spans="1:105" ht="12.75">
      <c r="A25" s="44" t="s">
        <v>262</v>
      </c>
      <c r="CV25" s="30"/>
      <c r="CW25" s="30"/>
      <c r="CX25" s="30"/>
      <c r="CY25" s="30"/>
      <c r="DA25" s="91">
        <f t="shared" si="4"/>
        <v>0</v>
      </c>
    </row>
    <row r="26" spans="1:105" ht="12.75">
      <c r="A26" s="44" t="s">
        <v>263</v>
      </c>
      <c r="B26" s="30">
        <f>B15-B23</f>
        <v>15584665.685999997</v>
      </c>
      <c r="C26" s="103"/>
      <c r="D26" s="30">
        <f>D15-D23</f>
        <v>17239853</v>
      </c>
      <c r="E26" s="103">
        <f>E15-E23</f>
        <v>11989270</v>
      </c>
      <c r="F26" s="103">
        <f>F15-F23</f>
        <v>4869912</v>
      </c>
      <c r="G26" s="103">
        <f>G15-G23</f>
        <v>35917</v>
      </c>
      <c r="H26" s="103">
        <f>H15-H23+1</f>
        <v>6258</v>
      </c>
      <c r="I26" s="103">
        <f>I15-I23</f>
        <v>497744</v>
      </c>
      <c r="J26" s="30">
        <f aca="true" t="shared" si="12" ref="J26:V26">J15-J23</f>
        <v>10505186.771000002</v>
      </c>
      <c r="K26" s="103"/>
      <c r="L26" s="30">
        <f t="shared" si="12"/>
        <v>16411636.399999999</v>
      </c>
      <c r="M26" s="103">
        <f t="shared" si="12"/>
        <v>16411772.955000004</v>
      </c>
      <c r="N26" s="103">
        <f t="shared" si="12"/>
        <v>0</v>
      </c>
      <c r="O26" s="103">
        <f t="shared" si="12"/>
        <v>-136.5550000000003</v>
      </c>
      <c r="P26" s="30">
        <f t="shared" si="12"/>
        <v>8629189.439</v>
      </c>
      <c r="Q26" s="103">
        <f t="shared" si="12"/>
        <v>3012.918</v>
      </c>
      <c r="R26" s="30">
        <f t="shared" si="12"/>
        <v>4254884.327999999</v>
      </c>
      <c r="S26" s="103"/>
      <c r="T26" s="30">
        <f t="shared" si="12"/>
        <v>3160082.697</v>
      </c>
      <c r="U26" s="103"/>
      <c r="V26" s="30">
        <f t="shared" si="12"/>
        <v>3917737.0289999996</v>
      </c>
      <c r="W26" s="103"/>
      <c r="X26" s="103"/>
      <c r="Y26" s="30">
        <f aca="true" t="shared" si="13" ref="Y26:BV26">Y15-Y23</f>
        <v>3853788.9899999998</v>
      </c>
      <c r="Z26" s="103"/>
      <c r="AA26" s="30">
        <f t="shared" si="13"/>
        <v>2921175.0459999996</v>
      </c>
      <c r="AB26" s="103"/>
      <c r="AC26" s="30">
        <f t="shared" si="13"/>
        <v>5841400.5030000005</v>
      </c>
      <c r="AD26" s="30">
        <f t="shared" si="13"/>
        <v>2429931.023</v>
      </c>
      <c r="AE26" s="103">
        <v>2578</v>
      </c>
      <c r="AF26" s="30">
        <f t="shared" si="13"/>
        <v>1747986</v>
      </c>
      <c r="AG26" s="30">
        <f t="shared" si="13"/>
        <v>2763528.8060000003</v>
      </c>
      <c r="AH26" s="30">
        <f t="shared" si="13"/>
        <v>7141619.092999999</v>
      </c>
      <c r="AI26" s="30">
        <f t="shared" si="13"/>
        <v>1435746.685</v>
      </c>
      <c r="AJ26" s="103">
        <f t="shared" si="13"/>
        <v>50986.842</v>
      </c>
      <c r="AK26" s="30">
        <f t="shared" si="13"/>
        <v>1451069.15</v>
      </c>
      <c r="AL26" s="103"/>
      <c r="AM26" s="30">
        <f t="shared" si="13"/>
        <v>3324237.2950000004</v>
      </c>
      <c r="AN26" s="103"/>
      <c r="AO26" s="30">
        <f t="shared" si="13"/>
        <v>4067511.6010000003</v>
      </c>
      <c r="AP26" s="103"/>
      <c r="AQ26" s="30">
        <f t="shared" si="13"/>
        <v>1450411.0560000003</v>
      </c>
      <c r="AR26" s="30">
        <f t="shared" si="13"/>
        <v>1189300.7580000001</v>
      </c>
      <c r="AS26" s="103"/>
      <c r="AT26" s="30">
        <f t="shared" si="13"/>
        <v>1031687.138</v>
      </c>
      <c r="AU26" s="103"/>
      <c r="AV26" s="30">
        <f t="shared" si="13"/>
        <v>4359350</v>
      </c>
      <c r="AW26" s="103"/>
      <c r="AX26" s="30">
        <f t="shared" si="13"/>
        <v>1060956.5829999999</v>
      </c>
      <c r="AY26" s="30">
        <f t="shared" si="13"/>
        <v>1508870.808</v>
      </c>
      <c r="AZ26" s="103"/>
      <c r="BA26" s="30">
        <f t="shared" si="13"/>
        <v>2001661.6160000002</v>
      </c>
      <c r="BB26" s="30">
        <f t="shared" si="13"/>
        <v>3124444.4379999996</v>
      </c>
      <c r="BC26" s="103"/>
      <c r="BD26" s="30">
        <f t="shared" si="13"/>
        <v>445510.2949999999</v>
      </c>
      <c r="BE26" s="103"/>
      <c r="BF26" s="30">
        <f t="shared" si="13"/>
        <v>1987379.738</v>
      </c>
      <c r="BG26" s="103"/>
      <c r="BH26" s="30">
        <f t="shared" si="13"/>
        <v>548928.528</v>
      </c>
      <c r="BI26" s="103"/>
      <c r="BJ26" s="30">
        <f t="shared" si="13"/>
        <v>1620743.0359999998</v>
      </c>
      <c r="BK26" s="30">
        <f t="shared" si="13"/>
        <v>309079.17300000007</v>
      </c>
      <c r="BL26" s="103">
        <f t="shared" si="13"/>
        <v>229549.276</v>
      </c>
      <c r="BM26" s="103">
        <f t="shared" si="13"/>
        <v>79529.897</v>
      </c>
      <c r="BN26" s="30">
        <f t="shared" si="13"/>
        <v>448647.83</v>
      </c>
      <c r="BO26" s="30">
        <f t="shared" si="13"/>
        <v>705509.5539999999</v>
      </c>
      <c r="BP26" s="30">
        <f t="shared" si="13"/>
        <v>558804.5650000002</v>
      </c>
      <c r="BQ26" s="30">
        <f t="shared" si="13"/>
        <v>256416.48400000003</v>
      </c>
      <c r="BR26" s="30">
        <f t="shared" si="13"/>
        <v>1449242.278</v>
      </c>
      <c r="BS26" s="103">
        <f t="shared" si="13"/>
        <v>1252365.256</v>
      </c>
      <c r="BT26" s="103">
        <f t="shared" si="13"/>
        <v>172985.49399999998</v>
      </c>
      <c r="BU26" s="103">
        <f t="shared" si="13"/>
        <v>23891.531000000003</v>
      </c>
      <c r="BV26" s="30">
        <f t="shared" si="13"/>
        <v>435188.00200000004</v>
      </c>
      <c r="BW26" s="30">
        <f aca="true" t="shared" si="14" ref="BW26:CS26">BW15-BW23</f>
        <v>437093.385</v>
      </c>
      <c r="BX26" s="30">
        <f t="shared" si="14"/>
        <v>1232940.3490000002</v>
      </c>
      <c r="BY26" s="103"/>
      <c r="BZ26" s="30">
        <f t="shared" si="14"/>
        <v>224667.74000000005</v>
      </c>
      <c r="CA26" s="103">
        <f t="shared" si="14"/>
        <v>43519.068</v>
      </c>
      <c r="CB26" s="103">
        <f t="shared" si="14"/>
        <v>181148.67200000002</v>
      </c>
      <c r="CC26" s="30">
        <f t="shared" si="14"/>
        <v>183996.34899999996</v>
      </c>
      <c r="CD26" s="30">
        <f t="shared" si="14"/>
        <v>549196.604</v>
      </c>
      <c r="CE26" s="103"/>
      <c r="CF26" s="30">
        <f t="shared" si="14"/>
        <v>162429.93699999998</v>
      </c>
      <c r="CG26" s="30">
        <f t="shared" si="14"/>
        <v>242085.21499999997</v>
      </c>
      <c r="CH26" s="30">
        <f t="shared" si="14"/>
        <v>168356.109</v>
      </c>
      <c r="CI26" s="30">
        <f t="shared" si="14"/>
        <v>167349.129</v>
      </c>
      <c r="CJ26" s="30">
        <f t="shared" si="14"/>
        <v>122873.105</v>
      </c>
      <c r="CK26" s="30">
        <f t="shared" si="14"/>
        <v>135717.35</v>
      </c>
      <c r="CL26" s="30">
        <f t="shared" si="14"/>
        <v>36601.122</v>
      </c>
      <c r="CM26" s="30">
        <f t="shared" si="14"/>
        <v>54140.10900000001</v>
      </c>
      <c r="CN26" s="30">
        <f t="shared" si="14"/>
        <v>11893.243000000002</v>
      </c>
      <c r="CO26" s="30">
        <f t="shared" si="14"/>
        <v>-16933.531999999992</v>
      </c>
      <c r="CP26" s="30">
        <f t="shared" si="14"/>
        <v>6691.596000000001</v>
      </c>
      <c r="CQ26" s="103"/>
      <c r="CR26" s="30">
        <f t="shared" si="14"/>
        <v>2206.719999999994</v>
      </c>
      <c r="CS26" s="30">
        <f t="shared" si="14"/>
        <v>299.02199999999993</v>
      </c>
      <c r="CT26" s="30"/>
      <c r="CV26" s="30">
        <f t="shared" si="1"/>
        <v>144894964.974</v>
      </c>
      <c r="CW26" s="30"/>
      <c r="CX26" s="30">
        <f t="shared" si="2"/>
        <v>23449353.121999998</v>
      </c>
      <c r="CY26" s="30">
        <f t="shared" si="3"/>
        <v>121445611.85199998</v>
      </c>
      <c r="CZ26" s="30"/>
      <c r="DA26" s="91">
        <f t="shared" si="4"/>
        <v>0</v>
      </c>
    </row>
    <row r="27" spans="1:105" ht="8.25" customHeight="1">
      <c r="A27" s="44"/>
      <c r="CV27" s="30"/>
      <c r="CW27" s="30"/>
      <c r="CX27" s="30"/>
      <c r="CY27" s="30"/>
      <c r="DA27" s="91">
        <f t="shared" si="4"/>
        <v>0</v>
      </c>
    </row>
    <row r="28" spans="1:105" ht="12.75">
      <c r="A28" s="44" t="s">
        <v>274</v>
      </c>
      <c r="CV28" s="30"/>
      <c r="CW28" s="30"/>
      <c r="CX28" s="30"/>
      <c r="CY28" s="30"/>
      <c r="DA28" s="91">
        <f t="shared" si="4"/>
        <v>0</v>
      </c>
    </row>
    <row r="29" spans="1:105" ht="12.75">
      <c r="A29" s="27" t="s">
        <v>264</v>
      </c>
      <c r="B29" s="133">
        <v>8994795.455</v>
      </c>
      <c r="C29" s="138"/>
      <c r="D29" s="133">
        <v>9069350</v>
      </c>
      <c r="E29" s="138">
        <v>6679492</v>
      </c>
      <c r="F29" s="138">
        <v>2062513</v>
      </c>
      <c r="G29" s="138">
        <v>0</v>
      </c>
      <c r="H29" s="138">
        <v>0</v>
      </c>
      <c r="I29" s="138">
        <v>486592</v>
      </c>
      <c r="J29" s="133">
        <v>7086924.428</v>
      </c>
      <c r="K29" s="138"/>
      <c r="L29" s="133">
        <v>12518780.231</v>
      </c>
      <c r="M29" s="138">
        <v>12518780.231</v>
      </c>
      <c r="N29" s="138">
        <v>0</v>
      </c>
      <c r="O29" s="138">
        <v>0</v>
      </c>
      <c r="P29" s="133">
        <v>5513618.389</v>
      </c>
      <c r="Q29" s="138">
        <v>3475</v>
      </c>
      <c r="R29" s="133">
        <v>2480878.901</v>
      </c>
      <c r="S29" s="138"/>
      <c r="T29" s="133">
        <v>2150253.469</v>
      </c>
      <c r="U29" s="138"/>
      <c r="V29" s="133">
        <v>3605878.556</v>
      </c>
      <c r="W29" s="138"/>
      <c r="X29" s="138"/>
      <c r="Y29" s="133">
        <v>2568113.29</v>
      </c>
      <c r="Z29" s="138"/>
      <c r="AA29" s="133">
        <v>1810738.018</v>
      </c>
      <c r="AB29" s="138"/>
      <c r="AC29" s="133">
        <v>4778765.771</v>
      </c>
      <c r="AD29" s="133">
        <v>1732155.485</v>
      </c>
      <c r="AE29" s="138"/>
      <c r="AF29" s="133">
        <v>1340889</v>
      </c>
      <c r="AG29" s="133">
        <v>2267304.121</v>
      </c>
      <c r="AH29" s="133">
        <v>6774204.678</v>
      </c>
      <c r="AI29" s="133">
        <v>383880</v>
      </c>
      <c r="AJ29" s="138">
        <v>1229.302</v>
      </c>
      <c r="AK29" s="133">
        <v>858835.004</v>
      </c>
      <c r="AL29" s="138"/>
      <c r="AM29" s="133">
        <v>2727453.002</v>
      </c>
      <c r="AN29" s="138"/>
      <c r="AO29" s="133">
        <v>3817550.153</v>
      </c>
      <c r="AP29" s="138"/>
      <c r="AQ29" s="133">
        <v>917543.782</v>
      </c>
      <c r="AR29" s="133">
        <v>477780.956</v>
      </c>
      <c r="AS29" s="138"/>
      <c r="AT29" s="133">
        <v>106317.182</v>
      </c>
      <c r="AU29" s="138"/>
      <c r="AV29" s="133">
        <v>3461706</v>
      </c>
      <c r="AW29" s="138"/>
      <c r="AX29" s="133">
        <v>592507.284</v>
      </c>
      <c r="AY29" s="133">
        <v>1261405.175</v>
      </c>
      <c r="AZ29" s="138"/>
      <c r="BA29" s="133">
        <v>1765048.413</v>
      </c>
      <c r="BB29" s="133">
        <v>596662.704</v>
      </c>
      <c r="BC29" s="138"/>
      <c r="BD29" s="133">
        <v>62462.3473</v>
      </c>
      <c r="BE29" s="138"/>
      <c r="BF29" s="133">
        <v>1517056.933</v>
      </c>
      <c r="BG29" s="138"/>
      <c r="BH29" s="133">
        <v>181288.734</v>
      </c>
      <c r="BI29" s="138"/>
      <c r="BJ29" s="133">
        <v>1519277.236</v>
      </c>
      <c r="BK29" s="133">
        <v>160318.758</v>
      </c>
      <c r="BL29" s="138">
        <v>130318.758</v>
      </c>
      <c r="BM29" s="138">
        <v>30000</v>
      </c>
      <c r="BN29" s="133">
        <v>455338.531</v>
      </c>
      <c r="BO29" s="133">
        <v>34781.819</v>
      </c>
      <c r="BP29" s="133">
        <v>580659.1</v>
      </c>
      <c r="BQ29" s="133">
        <v>262544.099</v>
      </c>
      <c r="BR29" s="133">
        <v>1203430.362</v>
      </c>
      <c r="BS29" s="138">
        <v>1032143.48</v>
      </c>
      <c r="BT29" s="138">
        <v>149228.336</v>
      </c>
      <c r="BU29" s="138">
        <v>22058.546</v>
      </c>
      <c r="BV29" s="133">
        <v>371949.593</v>
      </c>
      <c r="BW29" s="133">
        <v>390455.911</v>
      </c>
      <c r="BX29" s="133">
        <v>416262.505</v>
      </c>
      <c r="BY29" s="138"/>
      <c r="BZ29" s="133">
        <f>7164.974+128732.378</f>
        <v>135897.35199999998</v>
      </c>
      <c r="CA29" s="138">
        <f>2328.37+26530.284</f>
        <v>28858.654</v>
      </c>
      <c r="CB29" s="138">
        <f>+BZ29-CA29</f>
        <v>107038.69799999999</v>
      </c>
      <c r="CC29" s="133">
        <v>92992.178</v>
      </c>
      <c r="CD29" s="133">
        <v>221331.946</v>
      </c>
      <c r="CE29" s="138"/>
      <c r="CF29" s="133">
        <f>20992.24+30600.699+60093.132</f>
        <v>111686.071</v>
      </c>
      <c r="CG29" s="133">
        <v>236502</v>
      </c>
      <c r="CH29" s="133">
        <v>163886.564</v>
      </c>
      <c r="CI29" s="133">
        <v>146213.569</v>
      </c>
      <c r="CJ29" s="133">
        <v>111478.987</v>
      </c>
      <c r="CK29" s="133">
        <v>120851.059</v>
      </c>
      <c r="CL29" s="133">
        <v>0</v>
      </c>
      <c r="CM29" s="133">
        <v>18805.223</v>
      </c>
      <c r="CN29" s="133">
        <v>23733.852</v>
      </c>
      <c r="CO29" s="133">
        <v>0</v>
      </c>
      <c r="CP29" s="133">
        <v>0</v>
      </c>
      <c r="CQ29" s="138"/>
      <c r="CR29" s="133">
        <v>0</v>
      </c>
      <c r="CS29" s="133">
        <v>0</v>
      </c>
      <c r="CT29" s="133"/>
      <c r="CV29" s="30">
        <f t="shared" si="1"/>
        <v>98198544.17629997</v>
      </c>
      <c r="CW29" s="30"/>
      <c r="CX29" s="30">
        <f t="shared" si="2"/>
        <v>14193499.306999998</v>
      </c>
      <c r="CY29" s="30">
        <f t="shared" si="3"/>
        <v>84005044.86929996</v>
      </c>
      <c r="CZ29" s="133"/>
      <c r="DA29" s="91">
        <f t="shared" si="4"/>
        <v>0</v>
      </c>
    </row>
    <row r="30" spans="1:105" ht="12.75">
      <c r="A30" s="27" t="s">
        <v>265</v>
      </c>
      <c r="B30" s="133">
        <v>2778337.101</v>
      </c>
      <c r="C30" s="138"/>
      <c r="D30" s="133">
        <v>4860556</v>
      </c>
      <c r="E30" s="138">
        <v>3782227</v>
      </c>
      <c r="F30" s="138">
        <v>1068064</v>
      </c>
      <c r="G30" s="138">
        <v>0</v>
      </c>
      <c r="H30" s="138">
        <v>0</v>
      </c>
      <c r="I30" s="138">
        <v>10266</v>
      </c>
      <c r="J30" s="133">
        <v>1439926.227</v>
      </c>
      <c r="K30" s="138"/>
      <c r="L30" s="133">
        <v>2678632.118</v>
      </c>
      <c r="M30" s="138">
        <v>2678632.118</v>
      </c>
      <c r="N30" s="138">
        <v>0</v>
      </c>
      <c r="O30" s="138">
        <v>0</v>
      </c>
      <c r="P30" s="133">
        <v>2271510.429</v>
      </c>
      <c r="Q30" s="138">
        <v>0</v>
      </c>
      <c r="R30" s="133">
        <v>1280241.723</v>
      </c>
      <c r="S30" s="138"/>
      <c r="T30" s="133">
        <v>884868.455</v>
      </c>
      <c r="U30" s="138"/>
      <c r="V30" s="133">
        <v>194622.65</v>
      </c>
      <c r="W30" s="138"/>
      <c r="X30" s="138"/>
      <c r="Y30" s="133">
        <v>300678.51</v>
      </c>
      <c r="Z30" s="138"/>
      <c r="AA30" s="133">
        <v>683189.43</v>
      </c>
      <c r="AB30" s="138"/>
      <c r="AC30" s="133">
        <v>1151790.985</v>
      </c>
      <c r="AD30" s="133">
        <v>585765.327</v>
      </c>
      <c r="AE30" s="138"/>
      <c r="AF30" s="133">
        <v>79855</v>
      </c>
      <c r="AG30" s="133">
        <v>285682.589</v>
      </c>
      <c r="AH30" s="133">
        <v>170484.255</v>
      </c>
      <c r="AI30" s="133">
        <v>454881.973</v>
      </c>
      <c r="AJ30" s="138">
        <v>0</v>
      </c>
      <c r="AK30" s="133">
        <v>644384.402</v>
      </c>
      <c r="AL30" s="138"/>
      <c r="AM30" s="133">
        <v>548117.206</v>
      </c>
      <c r="AN30" s="138"/>
      <c r="AO30" s="133">
        <v>279756.968</v>
      </c>
      <c r="AP30" s="138"/>
      <c r="AQ30" s="133">
        <v>531788.854</v>
      </c>
      <c r="AR30" s="133">
        <v>690460.857</v>
      </c>
      <c r="AS30" s="138"/>
      <c r="AT30" s="133">
        <v>102109.745</v>
      </c>
      <c r="AU30" s="138"/>
      <c r="AV30" s="133">
        <v>907076</v>
      </c>
      <c r="AW30" s="138"/>
      <c r="AX30" s="133">
        <v>323688.304</v>
      </c>
      <c r="AY30" s="133">
        <v>41305.463</v>
      </c>
      <c r="AZ30" s="138"/>
      <c r="BA30" s="133">
        <v>39339.918</v>
      </c>
      <c r="BB30" s="133">
        <v>2517535.055</v>
      </c>
      <c r="BC30" s="138"/>
      <c r="BD30" s="133">
        <v>450711.043</v>
      </c>
      <c r="BE30" s="138"/>
      <c r="BF30" s="133">
        <v>355097.33</v>
      </c>
      <c r="BG30" s="138"/>
      <c r="BH30" s="133">
        <v>330873.419</v>
      </c>
      <c r="BI30" s="138"/>
      <c r="BJ30" s="133">
        <v>0</v>
      </c>
      <c r="BK30" s="133">
        <v>145000</v>
      </c>
      <c r="BL30" s="138">
        <v>96000</v>
      </c>
      <c r="BM30" s="138">
        <v>49000</v>
      </c>
      <c r="BN30" s="133">
        <v>0</v>
      </c>
      <c r="BO30" s="133">
        <v>674134.171</v>
      </c>
      <c r="BP30" s="133">
        <v>30110.4</v>
      </c>
      <c r="BQ30" s="133">
        <v>10265.8</v>
      </c>
      <c r="BR30" s="133">
        <v>58178.5</v>
      </c>
      <c r="BS30" s="138">
        <v>51050.295</v>
      </c>
      <c r="BT30" s="138">
        <v>7128.205</v>
      </c>
      <c r="BU30" s="138">
        <v>0</v>
      </c>
      <c r="BV30" s="133">
        <v>28669</v>
      </c>
      <c r="BW30" s="133">
        <v>67365.416</v>
      </c>
      <c r="BX30" s="133">
        <v>728990.047</v>
      </c>
      <c r="BY30" s="138"/>
      <c r="BZ30" s="133">
        <v>20675.3</v>
      </c>
      <c r="CA30" s="138">
        <v>0</v>
      </c>
      <c r="CB30" s="138">
        <f aca="true" t="shared" si="15" ref="CB30:CB35">+BZ30-CA30</f>
        <v>20675.3</v>
      </c>
      <c r="CC30" s="133">
        <v>90803.137</v>
      </c>
      <c r="CD30" s="133">
        <v>320112.189</v>
      </c>
      <c r="CE30" s="138"/>
      <c r="CF30" s="133">
        <v>19797.74</v>
      </c>
      <c r="CG30" s="133">
        <v>4715</v>
      </c>
      <c r="CH30" s="133">
        <v>5000</v>
      </c>
      <c r="CI30" s="133">
        <v>20632.933</v>
      </c>
      <c r="CJ30" s="133">
        <v>0</v>
      </c>
      <c r="CK30" s="133">
        <v>15717.39</v>
      </c>
      <c r="CL30" s="133">
        <v>41279.6</v>
      </c>
      <c r="CM30" s="133">
        <v>3736.006</v>
      </c>
      <c r="CN30" s="133">
        <v>0</v>
      </c>
      <c r="CO30" s="133">
        <v>0</v>
      </c>
      <c r="CP30" s="133">
        <v>0</v>
      </c>
      <c r="CQ30" s="138"/>
      <c r="CR30" s="133">
        <v>0</v>
      </c>
      <c r="CS30" s="133">
        <v>0</v>
      </c>
      <c r="CT30" s="133"/>
      <c r="CV30" s="30">
        <f t="shared" si="1"/>
        <v>30148449.964999996</v>
      </c>
      <c r="CW30" s="30"/>
      <c r="CX30" s="30">
        <f t="shared" si="2"/>
        <v>5566812.816000001</v>
      </c>
      <c r="CY30" s="30">
        <f t="shared" si="3"/>
        <v>24581637.148999996</v>
      </c>
      <c r="CZ30" s="133"/>
      <c r="DA30" s="91">
        <f t="shared" si="4"/>
        <v>0</v>
      </c>
    </row>
    <row r="31" spans="1:105" ht="12.75">
      <c r="A31" s="27" t="s">
        <v>266</v>
      </c>
      <c r="B31" s="133">
        <v>3716309.728</v>
      </c>
      <c r="C31" s="138"/>
      <c r="D31" s="133">
        <v>4094740</v>
      </c>
      <c r="E31" s="138">
        <v>2169611</v>
      </c>
      <c r="F31" s="138">
        <v>1915304</v>
      </c>
      <c r="G31" s="138">
        <v>9826</v>
      </c>
      <c r="H31" s="138">
        <v>0</v>
      </c>
      <c r="I31" s="138">
        <v>0</v>
      </c>
      <c r="J31" s="133">
        <v>1729441.739</v>
      </c>
      <c r="K31" s="138"/>
      <c r="L31" s="133">
        <v>1843069.949</v>
      </c>
      <c r="M31" s="138">
        <v>1843069.949</v>
      </c>
      <c r="N31" s="138">
        <v>0</v>
      </c>
      <c r="O31" s="138">
        <v>0</v>
      </c>
      <c r="P31" s="133">
        <v>1074448.024</v>
      </c>
      <c r="Q31" s="138">
        <v>0</v>
      </c>
      <c r="R31" s="133">
        <f>414206.667</f>
        <v>414206.667</v>
      </c>
      <c r="S31" s="138"/>
      <c r="T31" s="133">
        <v>106867.15</v>
      </c>
      <c r="U31" s="138"/>
      <c r="V31" s="133">
        <v>292456</v>
      </c>
      <c r="W31" s="138"/>
      <c r="X31" s="138"/>
      <c r="Y31" s="133">
        <v>875458.981</v>
      </c>
      <c r="Z31" s="138"/>
      <c r="AA31" s="133">
        <v>417994.57</v>
      </c>
      <c r="AB31" s="138"/>
      <c r="AC31" s="133">
        <v>131959.464</v>
      </c>
      <c r="AD31" s="133">
        <v>83914.461</v>
      </c>
      <c r="AE31" s="138"/>
      <c r="AF31" s="133">
        <v>346140</v>
      </c>
      <c r="AG31" s="133">
        <v>152365.819</v>
      </c>
      <c r="AH31" s="133">
        <v>248177</v>
      </c>
      <c r="AI31" s="133">
        <v>250473</v>
      </c>
      <c r="AJ31" s="138">
        <v>0</v>
      </c>
      <c r="AK31" s="133">
        <v>0</v>
      </c>
      <c r="AL31" s="138"/>
      <c r="AM31" s="133">
        <v>13581.23</v>
      </c>
      <c r="AN31" s="138"/>
      <c r="AO31" s="133">
        <v>0</v>
      </c>
      <c r="AP31" s="138"/>
      <c r="AQ31" s="133">
        <v>155428.602</v>
      </c>
      <c r="AR31" s="133">
        <v>0</v>
      </c>
      <c r="AS31" s="138"/>
      <c r="AT31" s="133">
        <v>239349</v>
      </c>
      <c r="AU31" s="138"/>
      <c r="AV31" s="133">
        <v>0</v>
      </c>
      <c r="AW31" s="138"/>
      <c r="AX31" s="133">
        <v>29550</v>
      </c>
      <c r="AY31" s="133">
        <v>216162.094</v>
      </c>
      <c r="AZ31" s="138"/>
      <c r="BA31" s="133">
        <v>81124.5</v>
      </c>
      <c r="BB31" s="133">
        <v>0</v>
      </c>
      <c r="BC31" s="138"/>
      <c r="BD31" s="133">
        <v>43300</v>
      </c>
      <c r="BE31" s="138"/>
      <c r="BF31" s="133">
        <v>243675.047</v>
      </c>
      <c r="BG31" s="138"/>
      <c r="BH31" s="133">
        <v>0</v>
      </c>
      <c r="BI31" s="138"/>
      <c r="BJ31" s="133">
        <v>0</v>
      </c>
      <c r="BK31" s="133">
        <v>0</v>
      </c>
      <c r="BL31" s="138">
        <v>0</v>
      </c>
      <c r="BM31" s="138">
        <v>0</v>
      </c>
      <c r="BN31" s="133">
        <v>0</v>
      </c>
      <c r="BO31" s="133">
        <v>3500</v>
      </c>
      <c r="BP31" s="133">
        <v>2950</v>
      </c>
      <c r="BQ31" s="133">
        <v>0</v>
      </c>
      <c r="BR31" s="133">
        <v>161963.5</v>
      </c>
      <c r="BS31" s="138">
        <v>147118.264</v>
      </c>
      <c r="BT31" s="138">
        <v>14845.236</v>
      </c>
      <c r="BU31" s="138">
        <v>0</v>
      </c>
      <c r="BV31" s="133">
        <v>40410</v>
      </c>
      <c r="BW31" s="133">
        <v>46420.632</v>
      </c>
      <c r="BX31" s="133">
        <v>0</v>
      </c>
      <c r="BY31" s="138"/>
      <c r="BZ31" s="133">
        <v>42596</v>
      </c>
      <c r="CA31" s="138">
        <v>8704</v>
      </c>
      <c r="CB31" s="138">
        <f t="shared" si="15"/>
        <v>33892</v>
      </c>
      <c r="CC31" s="133">
        <v>570</v>
      </c>
      <c r="CD31" s="133">
        <v>9350</v>
      </c>
      <c r="CE31" s="138"/>
      <c r="CF31" s="133">
        <v>18340</v>
      </c>
      <c r="CG31" s="133">
        <v>0</v>
      </c>
      <c r="CH31" s="133">
        <v>0</v>
      </c>
      <c r="CI31" s="133">
        <v>0</v>
      </c>
      <c r="CJ31" s="133">
        <v>21723</v>
      </c>
      <c r="CK31" s="133">
        <v>0</v>
      </c>
      <c r="CL31" s="133">
        <v>2600</v>
      </c>
      <c r="CM31" s="133">
        <v>0</v>
      </c>
      <c r="CN31" s="133">
        <v>0</v>
      </c>
      <c r="CO31" s="133">
        <v>0</v>
      </c>
      <c r="CP31" s="133">
        <v>0</v>
      </c>
      <c r="CQ31" s="138"/>
      <c r="CR31" s="133">
        <v>0</v>
      </c>
      <c r="CS31" s="133">
        <v>0</v>
      </c>
      <c r="CT31" s="133"/>
      <c r="CV31" s="30">
        <f t="shared" si="1"/>
        <v>17150616.157</v>
      </c>
      <c r="CW31" s="30"/>
      <c r="CX31" s="30">
        <f t="shared" si="2"/>
        <v>4541211.734</v>
      </c>
      <c r="CY31" s="30">
        <f t="shared" si="3"/>
        <v>12609404.423000002</v>
      </c>
      <c r="CZ31" s="133"/>
      <c r="DA31" s="91">
        <f t="shared" si="4"/>
        <v>0</v>
      </c>
    </row>
    <row r="32" spans="1:105" ht="12.75">
      <c r="A32" s="27" t="s">
        <v>340</v>
      </c>
      <c r="B32" s="133">
        <v>0</v>
      </c>
      <c r="C32" s="138"/>
      <c r="D32" s="133">
        <v>0</v>
      </c>
      <c r="E32" s="138">
        <v>0</v>
      </c>
      <c r="F32" s="138">
        <v>0</v>
      </c>
      <c r="G32" s="138">
        <v>0</v>
      </c>
      <c r="H32" s="138">
        <v>0</v>
      </c>
      <c r="I32" s="138">
        <v>0</v>
      </c>
      <c r="J32" s="133">
        <v>0</v>
      </c>
      <c r="K32" s="138"/>
      <c r="L32" s="133">
        <v>0</v>
      </c>
      <c r="M32" s="138">
        <f>+L32-N32</f>
        <v>0</v>
      </c>
      <c r="N32" s="138">
        <v>0</v>
      </c>
      <c r="O32" s="138">
        <v>0</v>
      </c>
      <c r="P32" s="133">
        <v>0</v>
      </c>
      <c r="Q32" s="138">
        <v>0</v>
      </c>
      <c r="R32" s="133">
        <v>101244.06</v>
      </c>
      <c r="S32" s="138"/>
      <c r="T32" s="133">
        <v>0</v>
      </c>
      <c r="U32" s="138"/>
      <c r="V32" s="133">
        <v>0</v>
      </c>
      <c r="W32" s="138"/>
      <c r="X32" s="138"/>
      <c r="Y32" s="133">
        <v>0</v>
      </c>
      <c r="Z32" s="138"/>
      <c r="AA32" s="133">
        <v>0</v>
      </c>
      <c r="AB32" s="138"/>
      <c r="AC32" s="133">
        <v>0</v>
      </c>
      <c r="AD32" s="133">
        <v>0</v>
      </c>
      <c r="AE32" s="138"/>
      <c r="AF32" s="133">
        <v>0</v>
      </c>
      <c r="AG32" s="133">
        <v>0</v>
      </c>
      <c r="AH32" s="133">
        <v>93990.546</v>
      </c>
      <c r="AI32" s="133">
        <v>328938.211</v>
      </c>
      <c r="AJ32" s="138">
        <v>49757.54</v>
      </c>
      <c r="AK32" s="133">
        <v>0</v>
      </c>
      <c r="AL32" s="138"/>
      <c r="AM32" s="133">
        <v>0</v>
      </c>
      <c r="AN32" s="138"/>
      <c r="AO32" s="133">
        <v>0</v>
      </c>
      <c r="AP32" s="138"/>
      <c r="AQ32" s="133">
        <v>0</v>
      </c>
      <c r="AR32" s="133">
        <v>0</v>
      </c>
      <c r="AS32" s="138"/>
      <c r="AT32" s="133">
        <v>11081.71</v>
      </c>
      <c r="AU32" s="138"/>
      <c r="AV32" s="133">
        <v>0</v>
      </c>
      <c r="AW32" s="138"/>
      <c r="AX32" s="133">
        <v>0</v>
      </c>
      <c r="AY32" s="133">
        <v>0</v>
      </c>
      <c r="AZ32" s="138"/>
      <c r="BA32" s="133">
        <v>0</v>
      </c>
      <c r="BB32" s="133">
        <v>0</v>
      </c>
      <c r="BC32" s="138"/>
      <c r="BD32" s="133">
        <v>0</v>
      </c>
      <c r="BE32" s="138"/>
      <c r="BF32" s="133">
        <v>0</v>
      </c>
      <c r="BG32" s="138"/>
      <c r="BH32" s="133">
        <v>0</v>
      </c>
      <c r="BI32" s="138"/>
      <c r="BJ32" s="133">
        <v>0</v>
      </c>
      <c r="BK32" s="133">
        <v>0</v>
      </c>
      <c r="BL32" s="138">
        <v>0</v>
      </c>
      <c r="BM32" s="138">
        <v>0</v>
      </c>
      <c r="BN32" s="133">
        <v>0</v>
      </c>
      <c r="BO32" s="133">
        <v>0</v>
      </c>
      <c r="BP32" s="133">
        <v>0</v>
      </c>
      <c r="BQ32" s="133">
        <v>0</v>
      </c>
      <c r="BR32" s="133">
        <v>0</v>
      </c>
      <c r="BS32" s="138">
        <v>0</v>
      </c>
      <c r="BT32" s="138">
        <v>0</v>
      </c>
      <c r="BU32" s="138">
        <v>0</v>
      </c>
      <c r="BV32" s="133">
        <v>0</v>
      </c>
      <c r="BW32" s="133">
        <v>0</v>
      </c>
      <c r="BX32" s="133">
        <v>0</v>
      </c>
      <c r="BY32" s="138"/>
      <c r="BZ32" s="133">
        <v>0</v>
      </c>
      <c r="CA32" s="138">
        <v>0</v>
      </c>
      <c r="CB32" s="138">
        <f t="shared" si="15"/>
        <v>0</v>
      </c>
      <c r="CC32" s="133">
        <v>0</v>
      </c>
      <c r="CD32" s="133">
        <v>0</v>
      </c>
      <c r="CE32" s="138"/>
      <c r="CF32" s="133">
        <v>0</v>
      </c>
      <c r="CG32" s="133">
        <v>0</v>
      </c>
      <c r="CH32" s="133">
        <v>0</v>
      </c>
      <c r="CI32" s="133">
        <v>0</v>
      </c>
      <c r="CJ32" s="133">
        <v>0</v>
      </c>
      <c r="CK32" s="133">
        <v>0</v>
      </c>
      <c r="CL32" s="133">
        <v>0</v>
      </c>
      <c r="CM32" s="133">
        <v>31631.949</v>
      </c>
      <c r="CN32" s="133">
        <v>43724.693</v>
      </c>
      <c r="CO32" s="133">
        <v>0</v>
      </c>
      <c r="CP32" s="133">
        <v>0</v>
      </c>
      <c r="CQ32" s="138"/>
      <c r="CR32" s="133">
        <v>0</v>
      </c>
      <c r="CS32" s="133">
        <v>0</v>
      </c>
      <c r="CT32" s="133"/>
      <c r="CV32" s="30">
        <f t="shared" si="1"/>
        <v>610611.169</v>
      </c>
      <c r="CW32" s="30"/>
      <c r="CX32" s="30">
        <f t="shared" si="2"/>
        <v>75356.64199999999</v>
      </c>
      <c r="CY32" s="30">
        <f t="shared" si="3"/>
        <v>535254.527</v>
      </c>
      <c r="CZ32" s="133"/>
      <c r="DA32" s="91">
        <f t="shared" si="4"/>
        <v>0</v>
      </c>
    </row>
    <row r="33" spans="1:105" ht="12.75">
      <c r="A33" s="104" t="s">
        <v>354</v>
      </c>
      <c r="B33" s="133">
        <v>7440.243</v>
      </c>
      <c r="C33" s="138"/>
      <c r="D33" s="133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3">
        <v>30071.371</v>
      </c>
      <c r="K33" s="138"/>
      <c r="L33" s="133">
        <v>0</v>
      </c>
      <c r="M33" s="138">
        <f>+L33-N33</f>
        <v>0</v>
      </c>
      <c r="N33" s="138">
        <v>0</v>
      </c>
      <c r="O33" s="138">
        <v>0</v>
      </c>
      <c r="P33" s="133">
        <v>3710.85</v>
      </c>
      <c r="Q33" s="138">
        <v>0</v>
      </c>
      <c r="R33" s="133">
        <f>3224.55+12252.88</f>
        <v>15477.43</v>
      </c>
      <c r="S33" s="138"/>
      <c r="T33" s="133">
        <v>3349.397</v>
      </c>
      <c r="U33" s="138"/>
      <c r="V33" s="133">
        <v>0</v>
      </c>
      <c r="W33" s="138"/>
      <c r="X33" s="138"/>
      <c r="Y33" s="133">
        <v>0</v>
      </c>
      <c r="Z33" s="138"/>
      <c r="AA33" s="133">
        <v>15197.522</v>
      </c>
      <c r="AB33" s="138"/>
      <c r="AC33" s="133">
        <v>10695.686</v>
      </c>
      <c r="AD33" s="133">
        <v>891.453</v>
      </c>
      <c r="AE33" s="138"/>
      <c r="AF33" s="133">
        <v>0</v>
      </c>
      <c r="AG33" s="133">
        <v>0</v>
      </c>
      <c r="AH33" s="133">
        <v>804.386</v>
      </c>
      <c r="AI33" s="133">
        <v>8332.024</v>
      </c>
      <c r="AJ33" s="138">
        <v>0</v>
      </c>
      <c r="AK33" s="133">
        <v>0</v>
      </c>
      <c r="AL33" s="138"/>
      <c r="AM33" s="133">
        <v>0</v>
      </c>
      <c r="AN33" s="138"/>
      <c r="AO33" s="133">
        <v>0</v>
      </c>
      <c r="AP33" s="138"/>
      <c r="AQ33" s="133">
        <v>0</v>
      </c>
      <c r="AR33" s="133">
        <v>0</v>
      </c>
      <c r="AS33" s="138"/>
      <c r="AT33" s="133">
        <v>0</v>
      </c>
      <c r="AU33" s="138"/>
      <c r="AV33" s="133">
        <v>0</v>
      </c>
      <c r="AW33" s="138"/>
      <c r="AX33" s="133">
        <v>0</v>
      </c>
      <c r="AY33" s="133">
        <v>0</v>
      </c>
      <c r="AZ33" s="138"/>
      <c r="BA33" s="133">
        <v>0</v>
      </c>
      <c r="BB33" s="133">
        <v>0</v>
      </c>
      <c r="BC33" s="138"/>
      <c r="BD33" s="133">
        <v>0</v>
      </c>
      <c r="BE33" s="138"/>
      <c r="BF33" s="133">
        <v>445.684</v>
      </c>
      <c r="BG33" s="138"/>
      <c r="BH33" s="133">
        <v>0</v>
      </c>
      <c r="BI33" s="138"/>
      <c r="BJ33" s="133">
        <v>0</v>
      </c>
      <c r="BK33" s="133">
        <v>0</v>
      </c>
      <c r="BL33" s="138">
        <v>0</v>
      </c>
      <c r="BM33" s="138">
        <v>0</v>
      </c>
      <c r="BN33" s="133">
        <v>0</v>
      </c>
      <c r="BO33" s="133">
        <v>0</v>
      </c>
      <c r="BP33" s="133">
        <v>0</v>
      </c>
      <c r="BQ33" s="133">
        <v>0</v>
      </c>
      <c r="BR33" s="133">
        <v>4484.934</v>
      </c>
      <c r="BS33" s="138">
        <v>4099.113</v>
      </c>
      <c r="BT33" s="138">
        <v>385.821</v>
      </c>
      <c r="BU33" s="138">
        <v>0</v>
      </c>
      <c r="BV33" s="133">
        <v>0</v>
      </c>
      <c r="BW33" s="133">
        <v>0</v>
      </c>
      <c r="BX33" s="133">
        <v>0</v>
      </c>
      <c r="BY33" s="138"/>
      <c r="BZ33" s="133">
        <v>0</v>
      </c>
      <c r="CA33" s="138">
        <v>0</v>
      </c>
      <c r="CB33" s="138">
        <f t="shared" si="15"/>
        <v>0</v>
      </c>
      <c r="CC33" s="133">
        <v>0</v>
      </c>
      <c r="CD33" s="133">
        <v>0</v>
      </c>
      <c r="CE33" s="138"/>
      <c r="CF33" s="133">
        <v>20000</v>
      </c>
      <c r="CG33" s="133">
        <v>0</v>
      </c>
      <c r="CH33" s="133">
        <v>0</v>
      </c>
      <c r="CI33" s="133">
        <v>0</v>
      </c>
      <c r="CJ33" s="133">
        <v>0</v>
      </c>
      <c r="CK33" s="133">
        <v>0</v>
      </c>
      <c r="CL33" s="133">
        <v>0</v>
      </c>
      <c r="CM33" s="133">
        <v>0</v>
      </c>
      <c r="CN33" s="133">
        <v>0</v>
      </c>
      <c r="CO33" s="133">
        <v>0</v>
      </c>
      <c r="CP33" s="133">
        <v>0</v>
      </c>
      <c r="CQ33" s="138"/>
      <c r="CR33" s="133">
        <v>0</v>
      </c>
      <c r="CS33" s="133">
        <v>0</v>
      </c>
      <c r="CT33" s="133"/>
      <c r="CV33" s="30">
        <f t="shared" si="1"/>
        <v>120900.97999999998</v>
      </c>
      <c r="CW33" s="30"/>
      <c r="CX33" s="30">
        <f t="shared" si="2"/>
        <v>24484.934</v>
      </c>
      <c r="CY33" s="30">
        <f t="shared" si="3"/>
        <v>96416.04599999999</v>
      </c>
      <c r="CZ33" s="133"/>
      <c r="DA33" s="91">
        <f t="shared" si="4"/>
        <v>0</v>
      </c>
    </row>
    <row r="34" spans="1:105" ht="12.75">
      <c r="A34" s="104" t="s">
        <v>267</v>
      </c>
      <c r="B34" s="133">
        <v>0</v>
      </c>
      <c r="C34" s="138"/>
      <c r="D34" s="133">
        <v>10090</v>
      </c>
      <c r="E34" s="138">
        <v>6336</v>
      </c>
      <c r="F34" s="138">
        <v>3754</v>
      </c>
      <c r="G34" s="138">
        <v>0</v>
      </c>
      <c r="H34" s="138">
        <v>0</v>
      </c>
      <c r="I34" s="138">
        <v>0</v>
      </c>
      <c r="J34" s="133">
        <v>141235.442</v>
      </c>
      <c r="K34" s="138"/>
      <c r="L34" s="133">
        <v>1285.799</v>
      </c>
      <c r="M34" s="138">
        <v>1285.799</v>
      </c>
      <c r="N34" s="138">
        <v>0</v>
      </c>
      <c r="O34" s="138">
        <v>0</v>
      </c>
      <c r="P34" s="133">
        <v>0</v>
      </c>
      <c r="Q34" s="138">
        <v>0</v>
      </c>
      <c r="R34" s="133">
        <v>0</v>
      </c>
      <c r="S34" s="138"/>
      <c r="T34" s="133">
        <v>0</v>
      </c>
      <c r="U34" s="138"/>
      <c r="V34" s="133">
        <v>0</v>
      </c>
      <c r="W34" s="138"/>
      <c r="X34" s="138"/>
      <c r="Y34" s="133">
        <v>49092.645</v>
      </c>
      <c r="Z34" s="138"/>
      <c r="AA34" s="133">
        <v>0</v>
      </c>
      <c r="AB34" s="138"/>
      <c r="AC34" s="133">
        <v>0</v>
      </c>
      <c r="AD34" s="133">
        <v>0</v>
      </c>
      <c r="AE34" s="138"/>
      <c r="AF34" s="133">
        <v>0</v>
      </c>
      <c r="AG34" s="133">
        <v>0</v>
      </c>
      <c r="AH34" s="133">
        <v>0</v>
      </c>
      <c r="AI34" s="133">
        <v>0</v>
      </c>
      <c r="AJ34" s="138">
        <v>0</v>
      </c>
      <c r="AK34" s="133">
        <v>0</v>
      </c>
      <c r="AL34" s="138"/>
      <c r="AM34" s="133">
        <v>0</v>
      </c>
      <c r="AN34" s="138"/>
      <c r="AO34" s="133">
        <v>0</v>
      </c>
      <c r="AP34" s="138"/>
      <c r="AQ34" s="133">
        <v>723.077</v>
      </c>
      <c r="AR34" s="133">
        <v>0</v>
      </c>
      <c r="AS34" s="138"/>
      <c r="AT34" s="133">
        <v>0</v>
      </c>
      <c r="AU34" s="138"/>
      <c r="AV34" s="133">
        <v>0</v>
      </c>
      <c r="AW34" s="138"/>
      <c r="AX34" s="133">
        <v>0</v>
      </c>
      <c r="AY34" s="133">
        <v>0</v>
      </c>
      <c r="AZ34" s="138"/>
      <c r="BA34" s="133">
        <v>0</v>
      </c>
      <c r="BB34" s="133">
        <v>0</v>
      </c>
      <c r="BC34" s="138"/>
      <c r="BD34" s="133">
        <v>0</v>
      </c>
      <c r="BE34" s="138"/>
      <c r="BF34" s="133">
        <v>0</v>
      </c>
      <c r="BG34" s="138"/>
      <c r="BH34" s="133">
        <v>0</v>
      </c>
      <c r="BI34" s="138"/>
      <c r="BJ34" s="133">
        <v>0</v>
      </c>
      <c r="BK34" s="133">
        <v>0</v>
      </c>
      <c r="BL34" s="138">
        <v>0</v>
      </c>
      <c r="BM34" s="138">
        <v>0</v>
      </c>
      <c r="BN34" s="133">
        <v>0</v>
      </c>
      <c r="BO34" s="133">
        <v>0</v>
      </c>
      <c r="BP34" s="133">
        <v>0</v>
      </c>
      <c r="BQ34" s="133">
        <v>0</v>
      </c>
      <c r="BR34" s="133">
        <v>0</v>
      </c>
      <c r="BS34" s="138">
        <v>0</v>
      </c>
      <c r="BT34" s="138">
        <v>0</v>
      </c>
      <c r="BU34" s="138">
        <v>0</v>
      </c>
      <c r="BV34" s="133">
        <v>0</v>
      </c>
      <c r="BW34" s="133">
        <v>0</v>
      </c>
      <c r="BX34" s="133">
        <v>0</v>
      </c>
      <c r="BY34" s="138"/>
      <c r="BZ34" s="133">
        <v>0</v>
      </c>
      <c r="CA34" s="138">
        <v>0</v>
      </c>
      <c r="CB34" s="138">
        <f t="shared" si="15"/>
        <v>0</v>
      </c>
      <c r="CC34" s="133">
        <v>0</v>
      </c>
      <c r="CD34" s="133">
        <v>0</v>
      </c>
      <c r="CE34" s="138"/>
      <c r="CF34" s="133">
        <v>0</v>
      </c>
      <c r="CG34" s="133">
        <v>0</v>
      </c>
      <c r="CH34" s="133">
        <v>0</v>
      </c>
      <c r="CI34" s="133">
        <v>0</v>
      </c>
      <c r="CJ34" s="133">
        <v>0</v>
      </c>
      <c r="CK34" s="133">
        <v>0</v>
      </c>
      <c r="CL34" s="133">
        <v>0</v>
      </c>
      <c r="CM34" s="133">
        <v>0</v>
      </c>
      <c r="CN34" s="133">
        <v>0</v>
      </c>
      <c r="CO34" s="133">
        <v>0</v>
      </c>
      <c r="CP34" s="133">
        <v>0</v>
      </c>
      <c r="CQ34" s="138"/>
      <c r="CR34" s="133">
        <v>0</v>
      </c>
      <c r="CS34" s="133">
        <v>0</v>
      </c>
      <c r="CT34" s="133"/>
      <c r="CV34" s="30">
        <f t="shared" si="1"/>
        <v>202426.963</v>
      </c>
      <c r="CW34" s="30"/>
      <c r="CX34" s="30">
        <f t="shared" si="2"/>
        <v>10813.077</v>
      </c>
      <c r="CY34" s="30">
        <f t="shared" si="3"/>
        <v>191613.886</v>
      </c>
      <c r="CZ34" s="133"/>
      <c r="DA34" s="91">
        <f t="shared" si="4"/>
        <v>0</v>
      </c>
    </row>
    <row r="35" spans="1:105" ht="12.75">
      <c r="A35" s="104" t="s">
        <v>334</v>
      </c>
      <c r="B35" s="133">
        <v>0</v>
      </c>
      <c r="C35" s="138"/>
      <c r="D35" s="133">
        <v>0</v>
      </c>
      <c r="E35" s="138">
        <v>0</v>
      </c>
      <c r="F35" s="138">
        <v>0</v>
      </c>
      <c r="G35" s="138">
        <v>0</v>
      </c>
      <c r="H35" s="138">
        <v>0</v>
      </c>
      <c r="I35" s="138">
        <v>0</v>
      </c>
      <c r="J35" s="133">
        <v>30000</v>
      </c>
      <c r="K35" s="138"/>
      <c r="L35" s="133">
        <v>0</v>
      </c>
      <c r="M35" s="138">
        <f>+L35-N35</f>
        <v>0</v>
      </c>
      <c r="N35" s="138">
        <v>0</v>
      </c>
      <c r="O35" s="138">
        <v>0</v>
      </c>
      <c r="P35" s="133">
        <v>0</v>
      </c>
      <c r="Q35" s="138">
        <v>0</v>
      </c>
      <c r="R35" s="133">
        <v>0</v>
      </c>
      <c r="S35" s="138"/>
      <c r="T35" s="133">
        <v>0</v>
      </c>
      <c r="U35" s="138"/>
      <c r="V35" s="133">
        <v>0</v>
      </c>
      <c r="W35" s="138"/>
      <c r="X35" s="138"/>
      <c r="Y35" s="133">
        <v>0</v>
      </c>
      <c r="Z35" s="138"/>
      <c r="AA35" s="133">
        <v>0</v>
      </c>
      <c r="AB35" s="138"/>
      <c r="AC35" s="133">
        <v>0</v>
      </c>
      <c r="AD35" s="133">
        <v>0</v>
      </c>
      <c r="AE35" s="138"/>
      <c r="AF35" s="133">
        <v>0</v>
      </c>
      <c r="AG35" s="133">
        <v>0</v>
      </c>
      <c r="AH35" s="133">
        <v>0</v>
      </c>
      <c r="AI35" s="133">
        <v>0</v>
      </c>
      <c r="AJ35" s="138">
        <v>0</v>
      </c>
      <c r="AK35" s="133">
        <v>15000</v>
      </c>
      <c r="AL35" s="138"/>
      <c r="AM35" s="133">
        <v>0</v>
      </c>
      <c r="AN35" s="138"/>
      <c r="AO35" s="133">
        <v>0</v>
      </c>
      <c r="AP35" s="138"/>
      <c r="AQ35" s="133">
        <v>0</v>
      </c>
      <c r="AR35" s="133">
        <v>0</v>
      </c>
      <c r="AS35" s="138"/>
      <c r="AT35" s="133">
        <v>0</v>
      </c>
      <c r="AU35" s="138"/>
      <c r="AV35" s="133">
        <v>0</v>
      </c>
      <c r="AW35" s="138"/>
      <c r="AX35" s="133">
        <v>0</v>
      </c>
      <c r="AY35" s="133">
        <v>0</v>
      </c>
      <c r="AZ35" s="138"/>
      <c r="BA35" s="133">
        <v>0</v>
      </c>
      <c r="BB35" s="133">
        <v>0</v>
      </c>
      <c r="BC35" s="138"/>
      <c r="BD35" s="133">
        <v>0</v>
      </c>
      <c r="BE35" s="138"/>
      <c r="BF35" s="133">
        <v>0</v>
      </c>
      <c r="BG35" s="138"/>
      <c r="BH35" s="133">
        <v>0</v>
      </c>
      <c r="BI35" s="138"/>
      <c r="BJ35" s="133">
        <v>0</v>
      </c>
      <c r="BK35" s="133">
        <v>0</v>
      </c>
      <c r="BL35" s="138">
        <v>0</v>
      </c>
      <c r="BM35" s="138">
        <v>0</v>
      </c>
      <c r="BN35" s="133">
        <v>0</v>
      </c>
      <c r="BO35" s="133">
        <v>0</v>
      </c>
      <c r="BP35" s="133">
        <v>0</v>
      </c>
      <c r="BQ35" s="133">
        <v>0</v>
      </c>
      <c r="BR35" s="133">
        <v>0</v>
      </c>
      <c r="BS35" s="138">
        <v>0</v>
      </c>
      <c r="BT35" s="138">
        <v>0</v>
      </c>
      <c r="BU35" s="138">
        <v>0</v>
      </c>
      <c r="BV35" s="133">
        <v>0</v>
      </c>
      <c r="BW35" s="133">
        <v>0</v>
      </c>
      <c r="BX35" s="133">
        <v>0</v>
      </c>
      <c r="BY35" s="138"/>
      <c r="BZ35" s="133">
        <v>0</v>
      </c>
      <c r="CA35" s="138">
        <v>0</v>
      </c>
      <c r="CB35" s="138">
        <f t="shared" si="15"/>
        <v>0</v>
      </c>
      <c r="CC35" s="133">
        <v>0</v>
      </c>
      <c r="CD35" s="133">
        <v>0</v>
      </c>
      <c r="CE35" s="138"/>
      <c r="CF35" s="133">
        <v>0</v>
      </c>
      <c r="CG35" s="133">
        <v>0</v>
      </c>
      <c r="CH35" s="133">
        <v>0</v>
      </c>
      <c r="CI35" s="133">
        <v>0</v>
      </c>
      <c r="CJ35" s="133">
        <v>0</v>
      </c>
      <c r="CK35" s="133">
        <v>0</v>
      </c>
      <c r="CL35" s="133">
        <v>0</v>
      </c>
      <c r="CM35" s="133">
        <v>0</v>
      </c>
      <c r="CN35" s="133">
        <v>0</v>
      </c>
      <c r="CO35" s="133">
        <v>0</v>
      </c>
      <c r="CP35" s="133">
        <v>0</v>
      </c>
      <c r="CQ35" s="138"/>
      <c r="CR35" s="133">
        <v>0</v>
      </c>
      <c r="CS35" s="133">
        <v>0</v>
      </c>
      <c r="CT35" s="133"/>
      <c r="CV35" s="30">
        <f t="shared" si="1"/>
        <v>45000</v>
      </c>
      <c r="CW35" s="30"/>
      <c r="CX35" s="30">
        <f t="shared" si="2"/>
        <v>0</v>
      </c>
      <c r="CY35" s="30">
        <f t="shared" si="3"/>
        <v>45000</v>
      </c>
      <c r="CZ35" s="133"/>
      <c r="DA35" s="91">
        <f t="shared" si="4"/>
        <v>0</v>
      </c>
    </row>
    <row r="36" spans="1:105" ht="12.75">
      <c r="A36" s="108" t="s">
        <v>297</v>
      </c>
      <c r="B36" s="30">
        <f aca="true" t="shared" si="16" ref="B36:L36">SUM(B29:B35)</f>
        <v>15496882.527</v>
      </c>
      <c r="C36" s="103"/>
      <c r="D36" s="30">
        <f>SUM(D29:D35)+1</f>
        <v>18034737</v>
      </c>
      <c r="E36" s="103">
        <f t="shared" si="16"/>
        <v>12637666</v>
      </c>
      <c r="F36" s="103">
        <f>SUM(F29:F35)-1</f>
        <v>5049634</v>
      </c>
      <c r="G36" s="103">
        <f t="shared" si="16"/>
        <v>9826</v>
      </c>
      <c r="H36" s="103">
        <f t="shared" si="16"/>
        <v>0</v>
      </c>
      <c r="I36" s="103">
        <f t="shared" si="16"/>
        <v>496858</v>
      </c>
      <c r="J36" s="30">
        <f t="shared" si="16"/>
        <v>10457599.207</v>
      </c>
      <c r="K36" s="103"/>
      <c r="L36" s="30">
        <f t="shared" si="16"/>
        <v>17041768.097</v>
      </c>
      <c r="M36" s="103">
        <f aca="true" t="shared" si="17" ref="M36:V36">SUM(M29:M35)</f>
        <v>17041768.097</v>
      </c>
      <c r="N36" s="103">
        <f t="shared" si="17"/>
        <v>0</v>
      </c>
      <c r="O36" s="103">
        <f t="shared" si="17"/>
        <v>0</v>
      </c>
      <c r="P36" s="30">
        <f t="shared" si="17"/>
        <v>8863287.692</v>
      </c>
      <c r="Q36" s="103">
        <f t="shared" si="17"/>
        <v>3475</v>
      </c>
      <c r="R36" s="30">
        <f t="shared" si="17"/>
        <v>4292048.7809999995</v>
      </c>
      <c r="S36" s="103"/>
      <c r="T36" s="30">
        <f t="shared" si="17"/>
        <v>3145338.471</v>
      </c>
      <c r="U36" s="103"/>
      <c r="V36" s="30">
        <f t="shared" si="17"/>
        <v>4092957.206</v>
      </c>
      <c r="W36" s="103"/>
      <c r="X36" s="103"/>
      <c r="Y36" s="30">
        <f aca="true" t="shared" si="18" ref="Y36:BP36">SUM(Y29:Y35)</f>
        <v>3793343.426</v>
      </c>
      <c r="Z36" s="103"/>
      <c r="AA36" s="30">
        <f t="shared" si="18"/>
        <v>2927119.5399999996</v>
      </c>
      <c r="AB36" s="103"/>
      <c r="AC36" s="30">
        <f t="shared" si="18"/>
        <v>6073211.9059999995</v>
      </c>
      <c r="AD36" s="30">
        <f t="shared" si="18"/>
        <v>2402726.7260000003</v>
      </c>
      <c r="AE36" s="103">
        <v>2578</v>
      </c>
      <c r="AF36" s="30">
        <f t="shared" si="18"/>
        <v>1766884</v>
      </c>
      <c r="AG36" s="30">
        <f t="shared" si="18"/>
        <v>2705352.529</v>
      </c>
      <c r="AH36" s="30">
        <f t="shared" si="18"/>
        <v>7287660.865</v>
      </c>
      <c r="AI36" s="30">
        <f t="shared" si="18"/>
        <v>1426505.2079999999</v>
      </c>
      <c r="AJ36" s="103">
        <f t="shared" si="18"/>
        <v>50986.842000000004</v>
      </c>
      <c r="AK36" s="30">
        <f t="shared" si="18"/>
        <v>1518219.406</v>
      </c>
      <c r="AL36" s="103"/>
      <c r="AM36" s="30">
        <f t="shared" si="18"/>
        <v>3289151.4379999996</v>
      </c>
      <c r="AN36" s="103"/>
      <c r="AO36" s="30">
        <f t="shared" si="18"/>
        <v>4097307.121</v>
      </c>
      <c r="AP36" s="103"/>
      <c r="AQ36" s="30">
        <f t="shared" si="18"/>
        <v>1605484.315</v>
      </c>
      <c r="AR36" s="30">
        <f t="shared" si="18"/>
        <v>1168241.813</v>
      </c>
      <c r="AS36" s="103"/>
      <c r="AT36" s="30">
        <f t="shared" si="18"/>
        <v>458857.63700000005</v>
      </c>
      <c r="AU36" s="103"/>
      <c r="AV36" s="30">
        <f t="shared" si="18"/>
        <v>4368782</v>
      </c>
      <c r="AW36" s="103"/>
      <c r="AX36" s="30">
        <f t="shared" si="18"/>
        <v>945745.588</v>
      </c>
      <c r="AY36" s="30">
        <f t="shared" si="18"/>
        <v>1518872.732</v>
      </c>
      <c r="AZ36" s="103"/>
      <c r="BA36" s="30">
        <f t="shared" si="18"/>
        <v>1885512.831</v>
      </c>
      <c r="BB36" s="30">
        <f t="shared" si="18"/>
        <v>3114197.759</v>
      </c>
      <c r="BC36" s="103"/>
      <c r="BD36" s="30">
        <f t="shared" si="18"/>
        <v>556473.3903000001</v>
      </c>
      <c r="BE36" s="103"/>
      <c r="BF36" s="30">
        <f t="shared" si="18"/>
        <v>2116274.994</v>
      </c>
      <c r="BG36" s="103"/>
      <c r="BH36" s="30">
        <f t="shared" si="18"/>
        <v>512162.153</v>
      </c>
      <c r="BI36" s="103"/>
      <c r="BJ36" s="30">
        <f t="shared" si="18"/>
        <v>1519277.236</v>
      </c>
      <c r="BK36" s="30">
        <f t="shared" si="18"/>
        <v>305318.75800000003</v>
      </c>
      <c r="BL36" s="103">
        <f t="shared" si="18"/>
        <v>226318.758</v>
      </c>
      <c r="BM36" s="103">
        <f t="shared" si="18"/>
        <v>79000</v>
      </c>
      <c r="BN36" s="30">
        <f t="shared" si="18"/>
        <v>455338.531</v>
      </c>
      <c r="BO36" s="30">
        <f t="shared" si="18"/>
        <v>712415.99</v>
      </c>
      <c r="BP36" s="30">
        <f t="shared" si="18"/>
        <v>613719.5</v>
      </c>
      <c r="BQ36" s="30">
        <f aca="true" t="shared" si="19" ref="BQ36:BX36">SUM(BQ29:BQ35)</f>
        <v>272809.899</v>
      </c>
      <c r="BR36" s="30">
        <f t="shared" si="19"/>
        <v>1428057.2959999999</v>
      </c>
      <c r="BS36" s="103">
        <f t="shared" si="19"/>
        <v>1234411.1519999998</v>
      </c>
      <c r="BT36" s="103">
        <f t="shared" si="19"/>
        <v>171587.598</v>
      </c>
      <c r="BU36" s="103">
        <f t="shared" si="19"/>
        <v>22058.546</v>
      </c>
      <c r="BV36" s="30">
        <f t="shared" si="19"/>
        <v>441028.593</v>
      </c>
      <c r="BW36" s="30">
        <f t="shared" si="19"/>
        <v>504241.95900000003</v>
      </c>
      <c r="BX36" s="30">
        <f t="shared" si="19"/>
        <v>1145252.5520000001</v>
      </c>
      <c r="BY36" s="103"/>
      <c r="BZ36" s="30">
        <f>SUM(BZ29:BZ35)</f>
        <v>199168.65199999997</v>
      </c>
      <c r="CA36" s="103">
        <f>SUM(CA29:CA35)</f>
        <v>37562.653999999995</v>
      </c>
      <c r="CB36" s="103">
        <f>SUM(CB29:CB35)</f>
        <v>161605.998</v>
      </c>
      <c r="CC36" s="30">
        <f>SUM(CC29:CC35)</f>
        <v>184365.315</v>
      </c>
      <c r="CD36" s="30">
        <f>SUM(CD29:CD35)</f>
        <v>550794.135</v>
      </c>
      <c r="CE36" s="103"/>
      <c r="CF36" s="30">
        <f aca="true" t="shared" si="20" ref="CF36:CP36">SUM(CF29:CF35)</f>
        <v>169823.811</v>
      </c>
      <c r="CG36" s="30">
        <f t="shared" si="20"/>
        <v>241217</v>
      </c>
      <c r="CH36" s="30">
        <f t="shared" si="20"/>
        <v>168886.564</v>
      </c>
      <c r="CI36" s="30">
        <f t="shared" si="20"/>
        <v>166846.50199999998</v>
      </c>
      <c r="CJ36" s="30">
        <f t="shared" si="20"/>
        <v>133201.987</v>
      </c>
      <c r="CK36" s="30">
        <f t="shared" si="20"/>
        <v>136568.449</v>
      </c>
      <c r="CL36" s="30">
        <f t="shared" si="20"/>
        <v>43879.6</v>
      </c>
      <c r="CM36" s="30">
        <f t="shared" si="20"/>
        <v>54173.178</v>
      </c>
      <c r="CN36" s="30">
        <f t="shared" si="20"/>
        <v>67458.545</v>
      </c>
      <c r="CO36" s="30">
        <f t="shared" si="20"/>
        <v>0</v>
      </c>
      <c r="CP36" s="30">
        <f t="shared" si="20"/>
        <v>0</v>
      </c>
      <c r="CQ36" s="103"/>
      <c r="CR36" s="30">
        <f>SUM(CR29:CR35)</f>
        <v>0</v>
      </c>
      <c r="CS36" s="30">
        <f>SUM(CS29:CS35)</f>
        <v>0</v>
      </c>
      <c r="CT36" s="30"/>
      <c r="CV36" s="30">
        <f t="shared" si="1"/>
        <v>146476550.4102999</v>
      </c>
      <c r="CW36" s="30"/>
      <c r="CX36" s="30">
        <f t="shared" si="2"/>
        <v>24412179.51</v>
      </c>
      <c r="CY36" s="30">
        <f t="shared" si="3"/>
        <v>122064370.9003</v>
      </c>
      <c r="CZ36" s="30"/>
      <c r="DA36" s="91">
        <f t="shared" si="4"/>
        <v>0</v>
      </c>
    </row>
    <row r="37" spans="1:105" ht="8.25" customHeight="1">
      <c r="A37" s="104"/>
      <c r="CV37" s="30"/>
      <c r="CW37" s="30"/>
      <c r="CX37" s="30"/>
      <c r="CY37" s="30"/>
      <c r="DA37" s="91">
        <f t="shared" si="4"/>
        <v>0</v>
      </c>
    </row>
    <row r="38" spans="1:105" ht="12.75">
      <c r="A38" s="98" t="s">
        <v>356</v>
      </c>
      <c r="B38" s="30">
        <f aca="true" t="shared" si="21" ref="B38:O38">B26-B36</f>
        <v>87783.15899999626</v>
      </c>
      <c r="C38" s="103"/>
      <c r="D38" s="30">
        <f>D26-D36-1</f>
        <v>-794885</v>
      </c>
      <c r="E38" s="103">
        <f>E26-E36-1</f>
        <v>-648397</v>
      </c>
      <c r="F38" s="103">
        <f t="shared" si="21"/>
        <v>-179722</v>
      </c>
      <c r="G38" s="103">
        <f t="shared" si="21"/>
        <v>26091</v>
      </c>
      <c r="H38" s="103">
        <f t="shared" si="21"/>
        <v>6258</v>
      </c>
      <c r="I38" s="103">
        <f t="shared" si="21"/>
        <v>886</v>
      </c>
      <c r="J38" s="30">
        <f t="shared" si="21"/>
        <v>47587.56400000118</v>
      </c>
      <c r="K38" s="103"/>
      <c r="L38" s="30">
        <f t="shared" si="21"/>
        <v>-630131.6970000006</v>
      </c>
      <c r="M38" s="103">
        <f t="shared" si="21"/>
        <v>-629995.1419999953</v>
      </c>
      <c r="N38" s="103">
        <f t="shared" si="21"/>
        <v>0</v>
      </c>
      <c r="O38" s="103">
        <f t="shared" si="21"/>
        <v>-136.5550000000003</v>
      </c>
      <c r="P38" s="30">
        <f>P26-P36</f>
        <v>-234098.2530000005</v>
      </c>
      <c r="Q38" s="103">
        <f>Q26-Q36</f>
        <v>-462.0819999999999</v>
      </c>
      <c r="R38" s="30">
        <f>R26-R36</f>
        <v>-37164.45300000068</v>
      </c>
      <c r="S38" s="103"/>
      <c r="T38" s="30">
        <f>T26-T36</f>
        <v>14744.226000000257</v>
      </c>
      <c r="U38" s="103"/>
      <c r="V38" s="30">
        <f>V26-V36</f>
        <v>-175220.17700000014</v>
      </c>
      <c r="W38" s="103"/>
      <c r="X38" s="103"/>
      <c r="Y38" s="30">
        <f>Y26-Y36</f>
        <v>60445.56399999978</v>
      </c>
      <c r="Z38" s="103"/>
      <c r="AA38" s="30">
        <f>AA26-AA36</f>
        <v>-5944.493999999948</v>
      </c>
      <c r="AB38" s="103"/>
      <c r="AC38" s="30">
        <f aca="true" t="shared" si="22" ref="AC38:AK38">AC26-AC36</f>
        <v>-231811.402999999</v>
      </c>
      <c r="AD38" s="30">
        <f t="shared" si="22"/>
        <v>27204.296999999788</v>
      </c>
      <c r="AE38" s="103">
        <f t="shared" si="22"/>
        <v>0</v>
      </c>
      <c r="AF38" s="30">
        <f t="shared" si="22"/>
        <v>-18898</v>
      </c>
      <c r="AG38" s="30">
        <f t="shared" si="22"/>
        <v>58176.277000000235</v>
      </c>
      <c r="AH38" s="30">
        <f t="shared" si="22"/>
        <v>-146041.7720000008</v>
      </c>
      <c r="AI38" s="30">
        <f t="shared" si="22"/>
        <v>9241.477000000188</v>
      </c>
      <c r="AJ38" s="103">
        <f t="shared" si="22"/>
        <v>0</v>
      </c>
      <c r="AK38" s="30">
        <f t="shared" si="22"/>
        <v>-67150.25600000005</v>
      </c>
      <c r="AL38" s="103"/>
      <c r="AM38" s="30">
        <f>AM26-AM36</f>
        <v>35085.857000000775</v>
      </c>
      <c r="AN38" s="103"/>
      <c r="AO38" s="30">
        <f>AO26-AO36</f>
        <v>-29795.519999999553</v>
      </c>
      <c r="AP38" s="103"/>
      <c r="AQ38" s="30">
        <f>AQ26-AQ36</f>
        <v>-155073.2589999996</v>
      </c>
      <c r="AR38" s="30">
        <f>AR26-AR36</f>
        <v>21058.945000000065</v>
      </c>
      <c r="AS38" s="103"/>
      <c r="AT38" s="30">
        <f>AT26-AT36</f>
        <v>572829.5009999999</v>
      </c>
      <c r="AU38" s="103"/>
      <c r="AV38" s="30">
        <f>AV26-AV36</f>
        <v>-9432</v>
      </c>
      <c r="AW38" s="103"/>
      <c r="AX38" s="30">
        <f>AX26-AX36</f>
        <v>115210.99499999988</v>
      </c>
      <c r="AY38" s="30">
        <f>AY26-AY36</f>
        <v>-10001.924000000115</v>
      </c>
      <c r="AZ38" s="103"/>
      <c r="BA38" s="30">
        <f>BA26-BA36</f>
        <v>116148.78500000015</v>
      </c>
      <c r="BB38" s="30">
        <f>BB26-BB36</f>
        <v>10246.678999999538</v>
      </c>
      <c r="BC38" s="103"/>
      <c r="BD38" s="30">
        <f>BD26-BD36</f>
        <v>-110963.09530000016</v>
      </c>
      <c r="BE38" s="103"/>
      <c r="BF38" s="30">
        <f>BF26-BF36</f>
        <v>-128895.25600000005</v>
      </c>
      <c r="BG38" s="103"/>
      <c r="BH38" s="30">
        <f aca="true" t="shared" si="23" ref="BH38:BU38">BH26-BH36</f>
        <v>36766.37500000006</v>
      </c>
      <c r="BI38" s="103"/>
      <c r="BJ38" s="30">
        <f t="shared" si="23"/>
        <v>101465.79999999981</v>
      </c>
      <c r="BK38" s="30">
        <f t="shared" si="23"/>
        <v>3760.4150000000373</v>
      </c>
      <c r="BL38" s="103">
        <f t="shared" si="23"/>
        <v>3230.518000000011</v>
      </c>
      <c r="BM38" s="103">
        <f t="shared" si="23"/>
        <v>529.8969999999972</v>
      </c>
      <c r="BN38" s="30">
        <f t="shared" si="23"/>
        <v>-6690.701000000001</v>
      </c>
      <c r="BO38" s="30">
        <f t="shared" si="23"/>
        <v>-6906.436000000103</v>
      </c>
      <c r="BP38" s="30">
        <f t="shared" si="23"/>
        <v>-54914.93499999982</v>
      </c>
      <c r="BQ38" s="30">
        <f t="shared" si="23"/>
        <v>-16393.41499999995</v>
      </c>
      <c r="BR38" s="30">
        <f t="shared" si="23"/>
        <v>21184.982000000076</v>
      </c>
      <c r="BS38" s="103">
        <f t="shared" si="23"/>
        <v>17954.104000000283</v>
      </c>
      <c r="BT38" s="103">
        <f t="shared" si="23"/>
        <v>1397.8959999999788</v>
      </c>
      <c r="BU38" s="103">
        <f t="shared" si="23"/>
        <v>1832.9850000000042</v>
      </c>
      <c r="BV38" s="30">
        <f>BV26-BV36</f>
        <v>-5840.590999999957</v>
      </c>
      <c r="BW38" s="30">
        <f>BW26-BW36</f>
        <v>-67148.57400000002</v>
      </c>
      <c r="BX38" s="30">
        <f>BX26-BX36</f>
        <v>87687.79700000002</v>
      </c>
      <c r="BY38" s="103"/>
      <c r="BZ38" s="30">
        <f>BZ26-BZ36</f>
        <v>25499.088000000076</v>
      </c>
      <c r="CA38" s="103">
        <f>CA26-CA36</f>
        <v>5956.414000000004</v>
      </c>
      <c r="CB38" s="103">
        <f>CB26-CB36</f>
        <v>19542.674000000028</v>
      </c>
      <c r="CC38" s="30">
        <f>CC26-CC36</f>
        <v>-368.966000000044</v>
      </c>
      <c r="CD38" s="30">
        <f>CD26-CD36</f>
        <v>-1597.530999999959</v>
      </c>
      <c r="CE38" s="103"/>
      <c r="CF38" s="30">
        <f aca="true" t="shared" si="24" ref="CF38:CP38">CF26-CF36</f>
        <v>-7393.874000000011</v>
      </c>
      <c r="CG38" s="30">
        <f t="shared" si="24"/>
        <v>868.2149999999674</v>
      </c>
      <c r="CH38" s="30">
        <f t="shared" si="24"/>
        <v>-530.4550000000163</v>
      </c>
      <c r="CI38" s="30">
        <f t="shared" si="24"/>
        <v>502.6270000000077</v>
      </c>
      <c r="CJ38" s="30">
        <f t="shared" si="24"/>
        <v>-10328.881999999998</v>
      </c>
      <c r="CK38" s="30">
        <f t="shared" si="24"/>
        <v>-851.0989999999874</v>
      </c>
      <c r="CL38" s="30">
        <f t="shared" si="24"/>
        <v>-7278.4779999999955</v>
      </c>
      <c r="CM38" s="30">
        <f t="shared" si="24"/>
        <v>-33.06899999998859</v>
      </c>
      <c r="CN38" s="30">
        <f t="shared" si="24"/>
        <v>-55565.301999999996</v>
      </c>
      <c r="CO38" s="30">
        <f t="shared" si="24"/>
        <v>-16933.531999999992</v>
      </c>
      <c r="CP38" s="30">
        <f t="shared" si="24"/>
        <v>6691.596000000001</v>
      </c>
      <c r="CQ38" s="103"/>
      <c r="CR38" s="30">
        <f>CR26-CR36</f>
        <v>2206.719999999994</v>
      </c>
      <c r="CS38" s="30">
        <f>CS26-CS36</f>
        <v>299.02199999999993</v>
      </c>
      <c r="CT38" s="30"/>
      <c r="CV38" s="30">
        <f t="shared" si="1"/>
        <v>-1581586.436300003</v>
      </c>
      <c r="CW38" s="30"/>
      <c r="CX38" s="30">
        <f t="shared" si="2"/>
        <v>-962827.3879999998</v>
      </c>
      <c r="CY38" s="30">
        <f t="shared" si="3"/>
        <v>-618759.0483000035</v>
      </c>
      <c r="CZ38" s="30"/>
      <c r="DA38" s="91">
        <f t="shared" si="4"/>
        <v>0</v>
      </c>
    </row>
    <row r="39" spans="1:105" ht="8.25" customHeight="1">
      <c r="A39" s="98"/>
      <c r="CV39" s="30"/>
      <c r="CW39" s="30"/>
      <c r="CX39" s="30"/>
      <c r="CY39" s="30"/>
      <c r="DA39" s="91">
        <f t="shared" si="4"/>
        <v>0</v>
      </c>
    </row>
    <row r="40" spans="1:105" ht="12.75">
      <c r="A40" s="98" t="s">
        <v>357</v>
      </c>
      <c r="B40" s="30">
        <f>314493.868+8621.288</f>
        <v>323115.156</v>
      </c>
      <c r="C40" s="103"/>
      <c r="D40" s="30">
        <v>1111952</v>
      </c>
      <c r="E40" s="103">
        <v>878935</v>
      </c>
      <c r="F40" s="103">
        <v>206852</v>
      </c>
      <c r="G40" s="103">
        <v>18968</v>
      </c>
      <c r="H40" s="103">
        <v>6930</v>
      </c>
      <c r="I40" s="103">
        <v>267</v>
      </c>
      <c r="J40" s="30">
        <v>212416.116</v>
      </c>
      <c r="K40" s="103"/>
      <c r="L40" s="30">
        <v>769122.388</v>
      </c>
      <c r="M40" s="103">
        <f>+L40-N40</f>
        <v>769122.388</v>
      </c>
      <c r="N40" s="103">
        <v>0</v>
      </c>
      <c r="O40" s="103">
        <v>0</v>
      </c>
      <c r="P40" s="30">
        <v>333248.097</v>
      </c>
      <c r="Q40" s="103">
        <v>690.473</v>
      </c>
      <c r="R40" s="30">
        <v>103997.022</v>
      </c>
      <c r="S40" s="103"/>
      <c r="T40" s="30">
        <f>37620.786+1964.7</f>
        <v>39585.486</v>
      </c>
      <c r="U40" s="103"/>
      <c r="V40" s="30">
        <v>774859.136</v>
      </c>
      <c r="W40" s="103"/>
      <c r="X40" s="103"/>
      <c r="Y40" s="30">
        <v>70490.741</v>
      </c>
      <c r="Z40" s="103"/>
      <c r="AA40" s="30">
        <v>124529.861</v>
      </c>
      <c r="AB40" s="103"/>
      <c r="AC40" s="30">
        <v>90533.802</v>
      </c>
      <c r="AD40" s="30">
        <v>23860.358</v>
      </c>
      <c r="AE40" s="103">
        <v>0</v>
      </c>
      <c r="AF40" s="30">
        <v>33179</v>
      </c>
      <c r="AG40" s="30">
        <v>60044.726</v>
      </c>
      <c r="AH40" s="30">
        <v>455843.969</v>
      </c>
      <c r="AI40" s="30">
        <v>6602.22</v>
      </c>
      <c r="AJ40" s="103">
        <v>0</v>
      </c>
      <c r="AK40" s="30">
        <v>141449.186</v>
      </c>
      <c r="AL40" s="103"/>
      <c r="AM40" s="30">
        <v>88861.911</v>
      </c>
      <c r="AN40" s="103"/>
      <c r="AO40" s="30">
        <v>86012.547</v>
      </c>
      <c r="AP40" s="103"/>
      <c r="AQ40" s="30">
        <v>149723.764</v>
      </c>
      <c r="AR40" s="30">
        <v>263499.935</v>
      </c>
      <c r="AS40" s="103"/>
      <c r="AT40" s="30">
        <v>27761.227</v>
      </c>
      <c r="AU40" s="103"/>
      <c r="AV40" s="30">
        <v>34901</v>
      </c>
      <c r="AW40" s="103"/>
      <c r="AX40" s="30">
        <v>23860.262</v>
      </c>
      <c r="AY40" s="30">
        <v>21803.818</v>
      </c>
      <c r="AZ40" s="103"/>
      <c r="BA40" s="30">
        <v>21219.487</v>
      </c>
      <c r="BB40" s="30">
        <v>2752.969</v>
      </c>
      <c r="BC40" s="103"/>
      <c r="BD40" s="30">
        <v>635939.699</v>
      </c>
      <c r="BE40" s="103"/>
      <c r="BF40" s="30">
        <v>141691.105</v>
      </c>
      <c r="BG40" s="103"/>
      <c r="BH40" s="30">
        <v>42101.787</v>
      </c>
      <c r="BI40" s="103"/>
      <c r="BJ40" s="30">
        <v>3018.008</v>
      </c>
      <c r="BK40" s="30">
        <v>1720.848</v>
      </c>
      <c r="BL40" s="103">
        <v>1517.685</v>
      </c>
      <c r="BM40" s="103">
        <v>203.163</v>
      </c>
      <c r="BN40" s="30">
        <v>7619.566</v>
      </c>
      <c r="BO40" s="30">
        <v>8265.917</v>
      </c>
      <c r="BP40" s="30">
        <v>79926.198</v>
      </c>
      <c r="BQ40" s="30">
        <v>384243.659</v>
      </c>
      <c r="BR40" s="30">
        <v>30635.311</v>
      </c>
      <c r="BS40" s="103">
        <v>25475.627</v>
      </c>
      <c r="BT40" s="103">
        <v>4601.855</v>
      </c>
      <c r="BU40" s="103">
        <v>557.829</v>
      </c>
      <c r="BV40" s="30">
        <v>3215.458</v>
      </c>
      <c r="BW40" s="30">
        <v>76706.521</v>
      </c>
      <c r="BX40" s="30">
        <v>25543.756</v>
      </c>
      <c r="BY40" s="103"/>
      <c r="BZ40" s="30">
        <v>10297.865</v>
      </c>
      <c r="CA40" s="103">
        <v>469.806</v>
      </c>
      <c r="CB40" s="103">
        <v>9828.059</v>
      </c>
      <c r="CC40" s="30">
        <v>2069.299</v>
      </c>
      <c r="CD40" s="30">
        <v>3730.703</v>
      </c>
      <c r="CE40" s="103"/>
      <c r="CF40" s="30">
        <v>10262.626</v>
      </c>
      <c r="CG40" s="30">
        <v>3102.195</v>
      </c>
      <c r="CH40" s="30">
        <v>593.562</v>
      </c>
      <c r="CI40" s="30">
        <v>43.258</v>
      </c>
      <c r="CJ40" s="30">
        <v>43945.674</v>
      </c>
      <c r="CK40" s="30">
        <v>1255.948</v>
      </c>
      <c r="CL40" s="30">
        <v>23216.055</v>
      </c>
      <c r="CM40" s="30">
        <v>19027.539</v>
      </c>
      <c r="CN40" s="30">
        <v>58456.396</v>
      </c>
      <c r="CO40" s="30">
        <v>42909.156</v>
      </c>
      <c r="CP40" s="30">
        <v>2111.334</v>
      </c>
      <c r="CQ40" s="103"/>
      <c r="CR40" s="30">
        <v>2637.268</v>
      </c>
      <c r="CS40" s="30">
        <v>744.248</v>
      </c>
      <c r="CT40" s="30"/>
      <c r="CV40" s="30">
        <f t="shared" si="1"/>
        <v>7060257.142999998</v>
      </c>
      <c r="CW40" s="30"/>
      <c r="CX40" s="30">
        <f t="shared" si="2"/>
        <v>1570293.8889999997</v>
      </c>
      <c r="CY40" s="30">
        <f t="shared" si="3"/>
        <v>5489963.254</v>
      </c>
      <c r="CZ40" s="30"/>
      <c r="DA40" s="91">
        <f t="shared" si="4"/>
        <v>0</v>
      </c>
    </row>
    <row r="41" spans="1:105" ht="7.5" customHeight="1">
      <c r="A41" s="44"/>
      <c r="CV41" s="30"/>
      <c r="CW41" s="30"/>
      <c r="CX41" s="30"/>
      <c r="CY41" s="30"/>
      <c r="DA41" s="91">
        <f t="shared" si="4"/>
        <v>0</v>
      </c>
    </row>
    <row r="42" spans="1:105" ht="12.75">
      <c r="A42" s="44" t="s">
        <v>358</v>
      </c>
      <c r="B42" s="30">
        <f>B38+B40</f>
        <v>410898.3149999963</v>
      </c>
      <c r="C42" s="103"/>
      <c r="D42" s="30">
        <f>D38+D40</f>
        <v>317067</v>
      </c>
      <c r="E42" s="103">
        <f>E38+E40</f>
        <v>230538</v>
      </c>
      <c r="F42" s="103">
        <f>F38+F40</f>
        <v>27130</v>
      </c>
      <c r="G42" s="103">
        <f>G38+G40</f>
        <v>45059</v>
      </c>
      <c r="H42" s="103">
        <f>H38+H40-1</f>
        <v>13187</v>
      </c>
      <c r="I42" s="103">
        <f>I38+I40-1</f>
        <v>1152</v>
      </c>
      <c r="J42" s="30">
        <f aca="true" t="shared" si="25" ref="J42:V42">J38+J40</f>
        <v>260003.6800000012</v>
      </c>
      <c r="K42" s="103"/>
      <c r="L42" s="30">
        <f t="shared" si="25"/>
        <v>138990.6909999994</v>
      </c>
      <c r="M42" s="103">
        <f t="shared" si="25"/>
        <v>139127.2460000047</v>
      </c>
      <c r="N42" s="103">
        <f t="shared" si="25"/>
        <v>0</v>
      </c>
      <c r="O42" s="103">
        <f t="shared" si="25"/>
        <v>-136.5550000000003</v>
      </c>
      <c r="P42" s="30">
        <f t="shared" si="25"/>
        <v>99149.84399999952</v>
      </c>
      <c r="Q42" s="103">
        <f t="shared" si="25"/>
        <v>228.39100000000008</v>
      </c>
      <c r="R42" s="30">
        <f t="shared" si="25"/>
        <v>66832.56899999932</v>
      </c>
      <c r="S42" s="103"/>
      <c r="T42" s="30">
        <f t="shared" si="25"/>
        <v>54329.712000000254</v>
      </c>
      <c r="U42" s="103"/>
      <c r="V42" s="30">
        <f t="shared" si="25"/>
        <v>599638.9589999999</v>
      </c>
      <c r="W42" s="103"/>
      <c r="X42" s="103"/>
      <c r="Y42" s="30">
        <f aca="true" t="shared" si="26" ref="Y42:BV42">Y38+Y40</f>
        <v>130936.30499999977</v>
      </c>
      <c r="Z42" s="103"/>
      <c r="AA42" s="30">
        <f t="shared" si="26"/>
        <v>118585.36700000006</v>
      </c>
      <c r="AB42" s="103"/>
      <c r="AC42" s="30">
        <f t="shared" si="26"/>
        <v>-141277.600999999</v>
      </c>
      <c r="AD42" s="30">
        <f t="shared" si="26"/>
        <v>51064.65499999979</v>
      </c>
      <c r="AE42" s="103">
        <f t="shared" si="26"/>
        <v>0</v>
      </c>
      <c r="AF42" s="30">
        <f t="shared" si="26"/>
        <v>14281</v>
      </c>
      <c r="AG42" s="30">
        <f t="shared" si="26"/>
        <v>118221.00300000023</v>
      </c>
      <c r="AH42" s="30">
        <f t="shared" si="26"/>
        <v>309802.19699999917</v>
      </c>
      <c r="AI42" s="30">
        <f t="shared" si="26"/>
        <v>15843.69700000019</v>
      </c>
      <c r="AJ42" s="103">
        <f t="shared" si="26"/>
        <v>0</v>
      </c>
      <c r="AK42" s="30">
        <f t="shared" si="26"/>
        <v>74298.92999999993</v>
      </c>
      <c r="AL42" s="103"/>
      <c r="AM42" s="30">
        <f t="shared" si="26"/>
        <v>123947.76800000077</v>
      </c>
      <c r="AN42" s="103"/>
      <c r="AO42" s="30">
        <f t="shared" si="26"/>
        <v>56217.02700000045</v>
      </c>
      <c r="AP42" s="103"/>
      <c r="AQ42" s="30">
        <f t="shared" si="26"/>
        <v>-5349.494999999617</v>
      </c>
      <c r="AR42" s="30">
        <f t="shared" si="26"/>
        <v>284558.88000000006</v>
      </c>
      <c r="AS42" s="103"/>
      <c r="AT42" s="30">
        <f t="shared" si="26"/>
        <v>600590.7279999999</v>
      </c>
      <c r="AU42" s="103"/>
      <c r="AV42" s="30">
        <f t="shared" si="26"/>
        <v>25469</v>
      </c>
      <c r="AW42" s="103"/>
      <c r="AX42" s="30">
        <f t="shared" si="26"/>
        <v>139071.25699999987</v>
      </c>
      <c r="AY42" s="30">
        <f t="shared" si="26"/>
        <v>11801.893999999884</v>
      </c>
      <c r="AZ42" s="103"/>
      <c r="BA42" s="30">
        <f t="shared" si="26"/>
        <v>137368.27200000014</v>
      </c>
      <c r="BB42" s="30">
        <f t="shared" si="26"/>
        <v>12999.647999999539</v>
      </c>
      <c r="BC42" s="103"/>
      <c r="BD42" s="30">
        <f t="shared" si="26"/>
        <v>524976.6036999999</v>
      </c>
      <c r="BE42" s="103"/>
      <c r="BF42" s="30">
        <f t="shared" si="26"/>
        <v>12795.848999999958</v>
      </c>
      <c r="BG42" s="103"/>
      <c r="BH42" s="30">
        <f t="shared" si="26"/>
        <v>78868.16200000005</v>
      </c>
      <c r="BI42" s="103"/>
      <c r="BJ42" s="30">
        <f t="shared" si="26"/>
        <v>104483.80799999982</v>
      </c>
      <c r="BK42" s="30">
        <f t="shared" si="26"/>
        <v>5481.263000000037</v>
      </c>
      <c r="BL42" s="103">
        <f t="shared" si="26"/>
        <v>4748.20300000001</v>
      </c>
      <c r="BM42" s="103">
        <f t="shared" si="26"/>
        <v>733.0599999999972</v>
      </c>
      <c r="BN42" s="30">
        <f t="shared" si="26"/>
        <v>928.8649999999989</v>
      </c>
      <c r="BO42" s="30">
        <f t="shared" si="26"/>
        <v>1359.480999999896</v>
      </c>
      <c r="BP42" s="30">
        <f t="shared" si="26"/>
        <v>25011.26300000018</v>
      </c>
      <c r="BQ42" s="30">
        <f t="shared" si="26"/>
        <v>367850.24400000006</v>
      </c>
      <c r="BR42" s="30">
        <f t="shared" si="26"/>
        <v>51820.29300000008</v>
      </c>
      <c r="BS42" s="103">
        <f t="shared" si="26"/>
        <v>43429.73100000028</v>
      </c>
      <c r="BT42" s="103">
        <f t="shared" si="26"/>
        <v>5999.750999999978</v>
      </c>
      <c r="BU42" s="103">
        <f t="shared" si="26"/>
        <v>2390.814000000004</v>
      </c>
      <c r="BV42" s="30">
        <f t="shared" si="26"/>
        <v>-2625.1329999999566</v>
      </c>
      <c r="BW42" s="30">
        <f aca="true" t="shared" si="27" ref="BW42:CS42">BW38+BW40</f>
        <v>9557.946999999971</v>
      </c>
      <c r="BX42" s="30">
        <f t="shared" si="27"/>
        <v>113231.55300000001</v>
      </c>
      <c r="BY42" s="103"/>
      <c r="BZ42" s="30">
        <f t="shared" si="27"/>
        <v>35796.953000000074</v>
      </c>
      <c r="CA42" s="103">
        <f t="shared" si="27"/>
        <v>6426.220000000004</v>
      </c>
      <c r="CB42" s="103">
        <f t="shared" si="27"/>
        <v>29370.73300000003</v>
      </c>
      <c r="CC42" s="30">
        <f t="shared" si="27"/>
        <v>1700.332999999956</v>
      </c>
      <c r="CD42" s="30">
        <f t="shared" si="27"/>
        <v>2133.172000000041</v>
      </c>
      <c r="CE42" s="103"/>
      <c r="CF42" s="30">
        <f t="shared" si="27"/>
        <v>2868.7519999999895</v>
      </c>
      <c r="CG42" s="30">
        <f t="shared" si="27"/>
        <v>3970.4099999999676</v>
      </c>
      <c r="CH42" s="30">
        <f t="shared" si="27"/>
        <v>63.106999999983714</v>
      </c>
      <c r="CI42" s="30">
        <f t="shared" si="27"/>
        <v>545.8850000000077</v>
      </c>
      <c r="CJ42" s="30">
        <f t="shared" si="27"/>
        <v>33616.792</v>
      </c>
      <c r="CK42" s="30">
        <f t="shared" si="27"/>
        <v>404.84900000001267</v>
      </c>
      <c r="CL42" s="30">
        <f t="shared" si="27"/>
        <v>15937.577000000005</v>
      </c>
      <c r="CM42" s="30">
        <f t="shared" si="27"/>
        <v>18994.470000000012</v>
      </c>
      <c r="CN42" s="30">
        <f t="shared" si="27"/>
        <v>2891.0940000000046</v>
      </c>
      <c r="CO42" s="30">
        <f t="shared" si="27"/>
        <v>25975.62400000001</v>
      </c>
      <c r="CP42" s="30">
        <f t="shared" si="27"/>
        <v>8802.93</v>
      </c>
      <c r="CQ42" s="103"/>
      <c r="CR42" s="30">
        <f t="shared" si="27"/>
        <v>4843.987999999994</v>
      </c>
      <c r="CS42" s="30">
        <f t="shared" si="27"/>
        <v>1043.27</v>
      </c>
      <c r="CT42" s="30"/>
      <c r="CV42" s="30">
        <f t="shared" si="1"/>
        <v>5478670.706699995</v>
      </c>
      <c r="CW42" s="30"/>
      <c r="CX42" s="30">
        <f t="shared" si="2"/>
        <v>607466.5010000003</v>
      </c>
      <c r="CY42" s="30">
        <f t="shared" si="3"/>
        <v>4871204.205699996</v>
      </c>
      <c r="CZ42" s="30"/>
      <c r="DA42" s="91">
        <f t="shared" si="4"/>
        <v>0</v>
      </c>
    </row>
    <row r="43" spans="100:105" ht="12.75">
      <c r="CV43" s="30"/>
      <c r="CW43" s="30"/>
      <c r="CX43" s="30"/>
      <c r="CY43" s="30"/>
      <c r="DA43" s="91">
        <f t="shared" si="4"/>
        <v>0</v>
      </c>
    </row>
    <row r="44" spans="2:104" ht="12.75">
      <c r="B44" s="30"/>
      <c r="C44" s="103"/>
      <c r="D44" s="30"/>
      <c r="E44" s="103"/>
      <c r="F44" s="103"/>
      <c r="G44" s="103"/>
      <c r="H44" s="103"/>
      <c r="I44" s="103"/>
      <c r="J44" s="30"/>
      <c r="K44" s="103"/>
      <c r="L44" s="30"/>
      <c r="M44" s="103"/>
      <c r="N44" s="103"/>
      <c r="O44" s="103"/>
      <c r="P44" s="30"/>
      <c r="Q44" s="30"/>
      <c r="R44" s="30"/>
      <c r="S44" s="103"/>
      <c r="T44" s="30"/>
      <c r="U44" s="103"/>
      <c r="V44" s="30"/>
      <c r="W44" s="103"/>
      <c r="X44" s="103"/>
      <c r="Y44" s="30"/>
      <c r="Z44" s="103"/>
      <c r="AA44" s="30"/>
      <c r="AB44" s="103"/>
      <c r="AC44" s="30"/>
      <c r="AD44" s="30"/>
      <c r="AE44" s="103"/>
      <c r="AF44" s="30"/>
      <c r="AG44" s="30"/>
      <c r="AH44" s="30"/>
      <c r="AI44" s="30"/>
      <c r="AJ44" s="103"/>
      <c r="AK44" s="30"/>
      <c r="AL44" s="103"/>
      <c r="AM44" s="30"/>
      <c r="AN44" s="103"/>
      <c r="AO44" s="30"/>
      <c r="AP44" s="103"/>
      <c r="AQ44" s="30"/>
      <c r="AR44" s="30"/>
      <c r="AS44" s="103"/>
      <c r="AT44" s="30"/>
      <c r="AU44" s="103"/>
      <c r="AV44" s="30"/>
      <c r="AW44" s="103"/>
      <c r="AX44" s="30"/>
      <c r="AY44" s="30"/>
      <c r="AZ44" s="103"/>
      <c r="BA44" s="30"/>
      <c r="BB44" s="30"/>
      <c r="BC44" s="103"/>
      <c r="BD44" s="30"/>
      <c r="BE44" s="103"/>
      <c r="BF44" s="30"/>
      <c r="BG44" s="103"/>
      <c r="BH44" s="30"/>
      <c r="BI44" s="103"/>
      <c r="BJ44" s="30"/>
      <c r="BK44" s="30"/>
      <c r="BL44" s="103"/>
      <c r="BM44" s="103"/>
      <c r="BN44" s="30"/>
      <c r="BO44" s="30"/>
      <c r="BP44" s="30"/>
      <c r="BQ44" s="30"/>
      <c r="BR44" s="30"/>
      <c r="BS44" s="103"/>
      <c r="BT44" s="103"/>
      <c r="BU44" s="103"/>
      <c r="BV44" s="30"/>
      <c r="BW44" s="30"/>
      <c r="BX44" s="30"/>
      <c r="BY44" s="103"/>
      <c r="BZ44" s="30"/>
      <c r="CA44" s="103"/>
      <c r="CB44" s="103"/>
      <c r="CC44" s="30"/>
      <c r="CD44" s="30"/>
      <c r="CE44" s="103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103"/>
      <c r="CR44" s="30"/>
      <c r="CS44" s="30"/>
      <c r="CT44" s="30"/>
      <c r="CU44" s="30"/>
      <c r="CV44" s="30"/>
      <c r="CW44" s="30"/>
      <c r="CX44" s="30"/>
      <c r="CY44" s="30"/>
      <c r="CZ44" s="30"/>
    </row>
    <row r="45" spans="100:103" ht="12.75">
      <c r="CV45" s="30"/>
      <c r="CW45" s="30"/>
      <c r="CX45" s="30"/>
      <c r="CY45" s="30"/>
    </row>
    <row r="46" spans="101:103" ht="12.75">
      <c r="CW46" s="30"/>
      <c r="CX46" s="30"/>
      <c r="CY46" s="30"/>
    </row>
    <row r="47" spans="100:103" ht="12.75">
      <c r="CV47" s="30"/>
      <c r="CW47" s="30"/>
      <c r="CX47" s="30"/>
      <c r="CY47" s="30"/>
    </row>
    <row r="48" spans="100:103" ht="12.75">
      <c r="CV48" s="30"/>
      <c r="CW48" s="30"/>
      <c r="CX48" s="30"/>
      <c r="CY48" s="30"/>
    </row>
    <row r="49" spans="100:103" ht="12.75">
      <c r="CV49" s="30"/>
      <c r="CW49" s="30"/>
      <c r="CX49" s="30"/>
      <c r="CY49" s="30"/>
    </row>
    <row r="50" spans="100:103" ht="12.75">
      <c r="CV50" s="30"/>
      <c r="CW50" s="30"/>
      <c r="CX50" s="30"/>
      <c r="CY50" s="30"/>
    </row>
    <row r="51" spans="100:103" ht="12.75">
      <c r="CV51" s="30"/>
      <c r="CW51" s="30"/>
      <c r="CX51" s="30"/>
      <c r="CY51" s="30"/>
    </row>
    <row r="52" spans="100:103" ht="12.75">
      <c r="CV52" s="30"/>
      <c r="CW52" s="30"/>
      <c r="CX52" s="30"/>
      <c r="CY52" s="30"/>
    </row>
    <row r="53" spans="100:103" ht="12.75">
      <c r="CV53" s="30"/>
      <c r="CW53" s="30"/>
      <c r="CX53" s="30"/>
      <c r="CY53" s="30"/>
    </row>
    <row r="54" spans="100:103" ht="12.75">
      <c r="CV54" s="30"/>
      <c r="CW54" s="30"/>
      <c r="CX54" s="30"/>
      <c r="CY54" s="30"/>
    </row>
    <row r="55" spans="100:103" ht="12.75">
      <c r="CV55" s="30"/>
      <c r="CW55" s="30"/>
      <c r="CX55" s="30"/>
      <c r="CY55" s="30"/>
    </row>
    <row r="56" spans="100:103" ht="12.75">
      <c r="CV56" s="30"/>
      <c r="CW56" s="30"/>
      <c r="CX56" s="30"/>
      <c r="CY56" s="30"/>
    </row>
    <row r="57" spans="100:103" ht="12.75">
      <c r="CV57" s="30"/>
      <c r="CW57" s="30"/>
      <c r="CX57" s="30"/>
      <c r="CY57" s="30"/>
    </row>
    <row r="58" spans="100:103" ht="12.75">
      <c r="CV58" s="30"/>
      <c r="CW58" s="30"/>
      <c r="CX58" s="30"/>
      <c r="CY58" s="30"/>
    </row>
    <row r="59" spans="102:103" ht="12.75">
      <c r="CX59" s="30"/>
      <c r="CY59" s="30"/>
    </row>
    <row r="60" spans="100:103" ht="12.75">
      <c r="CV60" s="142"/>
      <c r="CW60" s="142"/>
      <c r="CX60" s="142"/>
      <c r="CY60" s="142"/>
    </row>
    <row r="61" spans="100:103" ht="12.75">
      <c r="CV61" s="142"/>
      <c r="CW61" s="142"/>
      <c r="CX61" s="142"/>
      <c r="CY61" s="142"/>
    </row>
    <row r="62" spans="100:103" ht="12.75">
      <c r="CV62" s="143"/>
      <c r="CW62" s="143"/>
      <c r="CX62" s="142"/>
      <c r="CY62" s="142"/>
    </row>
    <row r="63" spans="100:103" ht="12.75">
      <c r="CV63" s="30"/>
      <c r="CW63" s="30"/>
      <c r="CX63" s="30"/>
      <c r="CY63" s="30"/>
    </row>
    <row r="64" spans="100:103" ht="12.75">
      <c r="CV64" s="30"/>
      <c r="CW64" s="30"/>
      <c r="CX64" s="30"/>
      <c r="CY64" s="30"/>
    </row>
    <row r="65" spans="100:103" ht="12.75">
      <c r="CV65" s="30"/>
      <c r="CW65" s="30"/>
      <c r="CX65" s="30"/>
      <c r="CY65" s="30"/>
    </row>
    <row r="66" spans="100:103" ht="12">
      <c r="CV66" s="112"/>
      <c r="CW66" s="112"/>
      <c r="CX66" s="112"/>
      <c r="CY66" s="112"/>
    </row>
    <row r="67" spans="100:103" ht="12">
      <c r="CV67" s="112"/>
      <c r="CW67" s="112"/>
      <c r="CX67" s="112"/>
      <c r="CY67" s="112"/>
    </row>
    <row r="68" spans="100:103" ht="12">
      <c r="CV68" s="112"/>
      <c r="CW68" s="112"/>
      <c r="CX68" s="112"/>
      <c r="CY68" s="112"/>
    </row>
    <row r="69" spans="100:103" ht="12">
      <c r="CV69" s="112"/>
      <c r="CW69" s="112"/>
      <c r="CX69" s="112"/>
      <c r="CY69" s="112"/>
    </row>
    <row r="70" spans="100:103" ht="12">
      <c r="CV70" s="112"/>
      <c r="CW70" s="112"/>
      <c r="CX70" s="112"/>
      <c r="CY70" s="112"/>
    </row>
    <row r="71" spans="100:103" ht="12">
      <c r="CV71" s="112"/>
      <c r="CW71" s="112"/>
      <c r="CX71" s="112"/>
      <c r="CY71" s="112"/>
    </row>
    <row r="72" spans="100:103" ht="12">
      <c r="CV72" s="112"/>
      <c r="CW72" s="112"/>
      <c r="CX72" s="112"/>
      <c r="CY72" s="112"/>
    </row>
  </sheetData>
  <sheetProtection/>
  <printOptions/>
  <pageMargins left="0.15748031496062992" right="0" top="1.6535433070866143" bottom="0.984251968503937" header="0.7874015748031497" footer="0.5118110236220472"/>
  <pageSetup firstPageNumber="42" useFirstPageNumber="1" horizontalDpi="600" verticalDpi="600" orientation="portrait" paperSize="9" r:id="rId1"/>
  <headerFooter alignWithMargins="0">
    <oddHeader>&amp;C&amp;"Times New Roman,Bold"&amp;14 3.3. SJÓÐSTREYMI ÁRIÐ 2000</oddHeader>
    <oddFooter>&amp;R&amp;"Times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HO89"/>
  <sheetViews>
    <sheetView zoomScalePageLayoutView="0" workbookViewId="0" topLeftCell="A1">
      <pane xSplit="2" ySplit="5" topLeftCell="CN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N26" sqref="CN26:CN27"/>
    </sheetView>
  </sheetViews>
  <sheetFormatPr defaultColWidth="9.00390625" defaultRowHeight="12.75"/>
  <cols>
    <col min="1" max="1" width="24.625" style="42" customWidth="1"/>
    <col min="2" max="2" width="3.875" style="42" customWidth="1"/>
    <col min="3" max="3" width="9.00390625" style="42" customWidth="1"/>
    <col min="4" max="4" width="7.875" style="13" customWidth="1"/>
    <col min="5" max="5" width="9.00390625" style="42" customWidth="1"/>
    <col min="6" max="7" width="7.875" style="13" customWidth="1"/>
    <col min="8" max="8" width="9.25390625" style="13" customWidth="1"/>
    <col min="9" max="10" width="7.875" style="13" customWidth="1"/>
    <col min="11" max="11" width="9.00390625" style="42" customWidth="1"/>
    <col min="12" max="12" width="8.625" style="13" customWidth="1"/>
    <col min="13" max="13" width="9.375" style="42" customWidth="1"/>
    <col min="14" max="16" width="7.875" style="13" customWidth="1"/>
    <col min="17" max="17" width="9.00390625" style="42" customWidth="1"/>
    <col min="18" max="18" width="7.875" style="13" customWidth="1"/>
    <col min="19" max="19" width="9.00390625" style="42" customWidth="1"/>
    <col min="20" max="20" width="8.25390625" style="13" customWidth="1"/>
    <col min="21" max="21" width="9.00390625" style="42" customWidth="1"/>
    <col min="22" max="22" width="9.00390625" style="13" customWidth="1"/>
    <col min="23" max="23" width="9.00390625" style="42" customWidth="1"/>
    <col min="24" max="25" width="7.875" style="13" customWidth="1"/>
    <col min="26" max="26" width="9.00390625" style="42" customWidth="1"/>
    <col min="27" max="27" width="7.875" style="13" customWidth="1"/>
    <col min="28" max="28" width="9.375" style="42" customWidth="1"/>
    <col min="29" max="29" width="7.875" style="13" customWidth="1"/>
    <col min="30" max="31" width="9.00390625" style="42" customWidth="1"/>
    <col min="32" max="32" width="7.875" style="13" customWidth="1"/>
    <col min="33" max="36" width="9.00390625" style="42" customWidth="1"/>
    <col min="37" max="37" width="7.875" style="13" customWidth="1"/>
    <col min="38" max="38" width="9.00390625" style="42" customWidth="1"/>
    <col min="39" max="39" width="7.875" style="13" customWidth="1"/>
    <col min="40" max="40" width="9.00390625" style="42" customWidth="1"/>
    <col min="41" max="41" width="7.875" style="13" customWidth="1"/>
    <col min="42" max="42" width="9.00390625" style="42" customWidth="1"/>
    <col min="43" max="43" width="8.375" style="13" customWidth="1"/>
    <col min="44" max="45" width="9.00390625" style="42" customWidth="1"/>
    <col min="46" max="46" width="7.875" style="13" customWidth="1"/>
    <col min="47" max="47" width="9.00390625" style="42" customWidth="1"/>
    <col min="48" max="48" width="7.875" style="13" customWidth="1"/>
    <col min="49" max="49" width="9.00390625" style="42" customWidth="1"/>
    <col min="50" max="50" width="7.875" style="13" customWidth="1"/>
    <col min="51" max="52" width="9.00390625" style="42" customWidth="1"/>
    <col min="53" max="53" width="7.875" style="13" customWidth="1"/>
    <col min="54" max="55" width="9.00390625" style="42" customWidth="1"/>
    <col min="56" max="56" width="7.875" style="13" customWidth="1"/>
    <col min="57" max="57" width="9.00390625" style="42" customWidth="1"/>
    <col min="58" max="58" width="7.875" style="13" customWidth="1"/>
    <col min="59" max="59" width="9.00390625" style="42" customWidth="1"/>
    <col min="60" max="60" width="7.875" style="13" customWidth="1"/>
    <col min="61" max="61" width="9.00390625" style="91" customWidth="1"/>
    <col min="62" max="62" width="7.875" style="13" customWidth="1"/>
    <col min="63" max="64" width="9.00390625" style="42" customWidth="1"/>
    <col min="65" max="66" width="7.875" style="13" customWidth="1"/>
    <col min="67" max="71" width="9.00390625" style="42" customWidth="1"/>
    <col min="72" max="74" width="7.875" style="13" customWidth="1"/>
    <col min="75" max="75" width="9.00390625" style="42" customWidth="1"/>
    <col min="76" max="76" width="10.375" style="42" customWidth="1"/>
    <col min="77" max="77" width="9.00390625" style="42" customWidth="1"/>
    <col min="78" max="78" width="7.875" style="13" customWidth="1"/>
    <col min="79" max="79" width="9.00390625" style="42" customWidth="1"/>
    <col min="80" max="81" width="7.875" style="13" customWidth="1"/>
    <col min="82" max="83" width="9.00390625" style="42" customWidth="1"/>
    <col min="84" max="84" width="9.125" style="13" customWidth="1"/>
    <col min="85" max="95" width="9.00390625" style="42" customWidth="1"/>
    <col min="96" max="96" width="7.875" style="13" customWidth="1"/>
    <col min="97" max="98" width="9.00390625" style="42" customWidth="1"/>
    <col min="99" max="100" width="9.625" style="42" customWidth="1"/>
    <col min="101" max="101" width="5.50390625" style="42" customWidth="1"/>
    <col min="102" max="102" width="9.625" style="42" customWidth="1"/>
    <col min="103" max="104" width="10.00390625" style="42" customWidth="1"/>
    <col min="105" max="16384" width="9.00390625" style="42" customWidth="1"/>
  </cols>
  <sheetData>
    <row r="1" spans="1:105" ht="12.75">
      <c r="A1" s="6"/>
      <c r="B1" s="71"/>
      <c r="C1" s="72" t="s">
        <v>0</v>
      </c>
      <c r="D1" s="73" t="s">
        <v>0</v>
      </c>
      <c r="E1" s="72" t="s">
        <v>0</v>
      </c>
      <c r="F1" s="73" t="s">
        <v>0</v>
      </c>
      <c r="G1" s="73" t="s">
        <v>0</v>
      </c>
      <c r="H1" s="73" t="s">
        <v>0</v>
      </c>
      <c r="I1" s="73" t="s">
        <v>0</v>
      </c>
      <c r="J1" s="73" t="s">
        <v>0</v>
      </c>
      <c r="K1" s="72" t="s">
        <v>0</v>
      </c>
      <c r="L1" s="73" t="s">
        <v>0</v>
      </c>
      <c r="M1" s="72" t="s">
        <v>1</v>
      </c>
      <c r="N1" s="73" t="s">
        <v>1</v>
      </c>
      <c r="O1" s="73" t="s">
        <v>1</v>
      </c>
      <c r="P1" s="73" t="s">
        <v>1</v>
      </c>
      <c r="Q1" s="72" t="s">
        <v>0</v>
      </c>
      <c r="R1" s="73" t="s">
        <v>0</v>
      </c>
      <c r="S1" s="72" t="s">
        <v>0</v>
      </c>
      <c r="T1" s="73" t="s">
        <v>0</v>
      </c>
      <c r="U1" s="72" t="s">
        <v>2</v>
      </c>
      <c r="V1" s="73" t="s">
        <v>2</v>
      </c>
      <c r="W1" s="72" t="s">
        <v>0</v>
      </c>
      <c r="X1" s="73" t="s">
        <v>0</v>
      </c>
      <c r="Y1" s="73" t="s">
        <v>0</v>
      </c>
      <c r="Z1" s="72" t="s">
        <v>0</v>
      </c>
      <c r="AA1" s="73" t="s">
        <v>0</v>
      </c>
      <c r="AB1" s="72" t="s">
        <v>3</v>
      </c>
      <c r="AC1" s="73" t="s">
        <v>3</v>
      </c>
      <c r="AD1" s="72" t="s">
        <v>0</v>
      </c>
      <c r="AE1" s="72" t="s">
        <v>0</v>
      </c>
      <c r="AF1" s="73" t="s">
        <v>0</v>
      </c>
      <c r="AG1" s="72" t="s">
        <v>0</v>
      </c>
      <c r="AH1" s="72" t="s">
        <v>0</v>
      </c>
      <c r="AI1" s="72" t="s">
        <v>0</v>
      </c>
      <c r="AJ1" s="74" t="s">
        <v>0</v>
      </c>
      <c r="AK1" s="73" t="s">
        <v>0</v>
      </c>
      <c r="AL1" s="72" t="s">
        <v>0</v>
      </c>
      <c r="AM1" s="73" t="s">
        <v>0</v>
      </c>
      <c r="AN1" s="72" t="s">
        <v>5</v>
      </c>
      <c r="AO1" s="73" t="s">
        <v>5</v>
      </c>
      <c r="AP1" s="72" t="s">
        <v>7</v>
      </c>
      <c r="AQ1" s="73" t="s">
        <v>7</v>
      </c>
      <c r="AR1" s="72" t="s">
        <v>0</v>
      </c>
      <c r="AS1" s="72" t="s">
        <v>0</v>
      </c>
      <c r="AT1" s="73" t="s">
        <v>0</v>
      </c>
      <c r="AU1" s="72" t="s">
        <v>303</v>
      </c>
      <c r="AV1" s="73" t="s">
        <v>303</v>
      </c>
      <c r="AW1" s="72" t="s">
        <v>6</v>
      </c>
      <c r="AX1" s="73" t="s">
        <v>6</v>
      </c>
      <c r="AY1" s="72" t="s">
        <v>0</v>
      </c>
      <c r="AZ1" s="72" t="s">
        <v>0</v>
      </c>
      <c r="BA1" s="73" t="s">
        <v>0</v>
      </c>
      <c r="BB1" s="72" t="s">
        <v>0</v>
      </c>
      <c r="BC1" s="72" t="s">
        <v>8</v>
      </c>
      <c r="BD1" s="73" t="s">
        <v>8</v>
      </c>
      <c r="BE1" s="72" t="s">
        <v>0</v>
      </c>
      <c r="BF1" s="73" t="s">
        <v>0</v>
      </c>
      <c r="BG1" s="72" t="s">
        <v>6</v>
      </c>
      <c r="BH1" s="73" t="s">
        <v>6</v>
      </c>
      <c r="BI1" s="72" t="s">
        <v>0</v>
      </c>
      <c r="BJ1" s="73" t="s">
        <v>0</v>
      </c>
      <c r="BK1" s="72" t="s">
        <v>0</v>
      </c>
      <c r="BL1" s="72" t="s">
        <v>0</v>
      </c>
      <c r="BM1" s="73" t="s">
        <v>0</v>
      </c>
      <c r="BN1" s="73" t="s">
        <v>0</v>
      </c>
      <c r="BO1" s="72" t="s">
        <v>4</v>
      </c>
      <c r="BP1" s="72" t="s">
        <v>0</v>
      </c>
      <c r="BQ1" s="72" t="s">
        <v>0</v>
      </c>
      <c r="BR1" s="72" t="s">
        <v>0</v>
      </c>
      <c r="BS1" s="72" t="s">
        <v>0</v>
      </c>
      <c r="BT1" s="73" t="s">
        <v>0</v>
      </c>
      <c r="BU1" s="73" t="s">
        <v>0</v>
      </c>
      <c r="BV1" s="73" t="s">
        <v>0</v>
      </c>
      <c r="BW1" s="72" t="s">
        <v>4</v>
      </c>
      <c r="BX1" s="72" t="s">
        <v>0</v>
      </c>
      <c r="BY1" s="72" t="s">
        <v>50</v>
      </c>
      <c r="BZ1" s="73" t="s">
        <v>50</v>
      </c>
      <c r="CA1" s="72" t="s">
        <v>4</v>
      </c>
      <c r="CB1" s="73" t="s">
        <v>4</v>
      </c>
      <c r="CC1" s="73" t="s">
        <v>4</v>
      </c>
      <c r="CD1" s="72" t="s">
        <v>0</v>
      </c>
      <c r="CE1" s="72" t="s">
        <v>0</v>
      </c>
      <c r="CF1" s="73" t="s">
        <v>479</v>
      </c>
      <c r="CG1" s="72" t="s">
        <v>0</v>
      </c>
      <c r="CH1" s="72" t="s">
        <v>0</v>
      </c>
      <c r="CI1" s="72" t="s">
        <v>4</v>
      </c>
      <c r="CJ1" s="72" t="s">
        <v>4</v>
      </c>
      <c r="CK1" s="72" t="s">
        <v>4</v>
      </c>
      <c r="CL1" s="72" t="s">
        <v>0</v>
      </c>
      <c r="CM1" s="72" t="s">
        <v>6</v>
      </c>
      <c r="CN1" s="72" t="s">
        <v>0</v>
      </c>
      <c r="CO1" s="72" t="s">
        <v>0</v>
      </c>
      <c r="CP1" s="72" t="s">
        <v>4</v>
      </c>
      <c r="CQ1" s="72" t="s">
        <v>9</v>
      </c>
      <c r="CR1" s="73" t="s">
        <v>9</v>
      </c>
      <c r="CS1" s="72" t="s">
        <v>0</v>
      </c>
      <c r="CT1" s="72" t="s">
        <v>0</v>
      </c>
      <c r="CV1" s="74" t="s">
        <v>10</v>
      </c>
      <c r="CW1" s="74"/>
      <c r="CX1" s="74" t="s">
        <v>0</v>
      </c>
      <c r="CY1" s="74" t="s">
        <v>0</v>
      </c>
      <c r="CZ1" s="74"/>
      <c r="DA1" s="151"/>
    </row>
    <row r="2" spans="1:105" ht="12.75">
      <c r="A2" s="75" t="s">
        <v>11</v>
      </c>
      <c r="C2" s="72" t="s">
        <v>12</v>
      </c>
      <c r="D2" s="73" t="s">
        <v>12</v>
      </c>
      <c r="E2" s="72" t="s">
        <v>413</v>
      </c>
      <c r="F2" s="73" t="s">
        <v>413</v>
      </c>
      <c r="G2" s="73" t="s">
        <v>413</v>
      </c>
      <c r="H2" s="73" t="s">
        <v>413</v>
      </c>
      <c r="I2" s="73" t="s">
        <v>413</v>
      </c>
      <c r="J2" s="73" t="s">
        <v>413</v>
      </c>
      <c r="K2" s="72" t="s">
        <v>16</v>
      </c>
      <c r="L2" s="73" t="s">
        <v>16</v>
      </c>
      <c r="M2" s="72" t="s">
        <v>15</v>
      </c>
      <c r="N2" s="73" t="s">
        <v>15</v>
      </c>
      <c r="O2" s="73" t="s">
        <v>15</v>
      </c>
      <c r="P2" s="73" t="s">
        <v>15</v>
      </c>
      <c r="Q2" s="72" t="s">
        <v>13</v>
      </c>
      <c r="R2" s="73" t="s">
        <v>13</v>
      </c>
      <c r="S2" s="72" t="s">
        <v>17</v>
      </c>
      <c r="T2" s="73" t="s">
        <v>17</v>
      </c>
      <c r="U2" s="72" t="s">
        <v>15</v>
      </c>
      <c r="V2" s="73" t="s">
        <v>15</v>
      </c>
      <c r="W2" s="72" t="s">
        <v>311</v>
      </c>
      <c r="X2" s="73" t="s">
        <v>311</v>
      </c>
      <c r="Y2" s="73" t="s">
        <v>311</v>
      </c>
      <c r="Z2" s="72" t="s">
        <v>268</v>
      </c>
      <c r="AA2" s="73" t="s">
        <v>268</v>
      </c>
      <c r="AB2" s="72" t="s">
        <v>15</v>
      </c>
      <c r="AC2" s="73" t="s">
        <v>15</v>
      </c>
      <c r="AD2" s="72" t="s">
        <v>19</v>
      </c>
      <c r="AE2" s="72" t="s">
        <v>20</v>
      </c>
      <c r="AF2" s="73" t="s">
        <v>20</v>
      </c>
      <c r="AG2" s="72" t="s">
        <v>22</v>
      </c>
      <c r="AH2" s="72" t="s">
        <v>18</v>
      </c>
      <c r="AI2" s="72" t="s">
        <v>21</v>
      </c>
      <c r="AJ2" s="74" t="s">
        <v>322</v>
      </c>
      <c r="AK2" s="73" t="s">
        <v>322</v>
      </c>
      <c r="AL2" s="72" t="s">
        <v>23</v>
      </c>
      <c r="AM2" s="73" t="s">
        <v>23</v>
      </c>
      <c r="AN2" s="72" t="s">
        <v>15</v>
      </c>
      <c r="AO2" s="73" t="s">
        <v>15</v>
      </c>
      <c r="AP2" s="72" t="s">
        <v>30</v>
      </c>
      <c r="AQ2" s="73" t="s">
        <v>30</v>
      </c>
      <c r="AR2" s="72" t="s">
        <v>25</v>
      </c>
      <c r="AS2" s="72" t="s">
        <v>24</v>
      </c>
      <c r="AT2" s="73" t="s">
        <v>24</v>
      </c>
      <c r="AU2" s="72" t="s">
        <v>46</v>
      </c>
      <c r="AV2" s="73" t="s">
        <v>46</v>
      </c>
      <c r="AW2" s="72" t="s">
        <v>29</v>
      </c>
      <c r="AX2" s="73" t="s">
        <v>29</v>
      </c>
      <c r="AY2" s="72" t="s">
        <v>14</v>
      </c>
      <c r="AZ2" s="72" t="s">
        <v>313</v>
      </c>
      <c r="BA2" s="73" t="s">
        <v>313</v>
      </c>
      <c r="BB2" s="72" t="s">
        <v>71</v>
      </c>
      <c r="BC2" s="72" t="s">
        <v>15</v>
      </c>
      <c r="BD2" s="73" t="s">
        <v>15</v>
      </c>
      <c r="BE2" s="72" t="s">
        <v>26</v>
      </c>
      <c r="BF2" s="73" t="s">
        <v>26</v>
      </c>
      <c r="BG2" s="72" t="s">
        <v>29</v>
      </c>
      <c r="BH2" s="73" t="s">
        <v>29</v>
      </c>
      <c r="BI2" s="72" t="s">
        <v>27</v>
      </c>
      <c r="BJ2" s="73" t="s">
        <v>27</v>
      </c>
      <c r="BK2" s="72" t="s">
        <v>14</v>
      </c>
      <c r="BL2" s="72" t="s">
        <v>28</v>
      </c>
      <c r="BM2" s="73" t="s">
        <v>28</v>
      </c>
      <c r="BN2" s="73" t="s">
        <v>28</v>
      </c>
      <c r="BO2" s="72" t="s">
        <v>14</v>
      </c>
      <c r="BP2" s="72" t="s">
        <v>31</v>
      </c>
      <c r="BQ2" s="72" t="s">
        <v>32</v>
      </c>
      <c r="BR2" s="72" t="s">
        <v>33</v>
      </c>
      <c r="BS2" s="72" t="s">
        <v>14</v>
      </c>
      <c r="BT2" s="73" t="s">
        <v>14</v>
      </c>
      <c r="BU2" s="73" t="s">
        <v>14</v>
      </c>
      <c r="BV2" s="73" t="s">
        <v>14</v>
      </c>
      <c r="BW2" s="72" t="s">
        <v>34</v>
      </c>
      <c r="BX2" s="72" t="s">
        <v>36</v>
      </c>
      <c r="BY2" s="72" t="s">
        <v>15</v>
      </c>
      <c r="BZ2" s="73" t="s">
        <v>15</v>
      </c>
      <c r="CA2" s="72" t="s">
        <v>37</v>
      </c>
      <c r="CB2" s="73" t="s">
        <v>37</v>
      </c>
      <c r="CC2" s="73" t="s">
        <v>37</v>
      </c>
      <c r="CD2" s="72" t="s">
        <v>35</v>
      </c>
      <c r="CE2" s="72" t="s">
        <v>39</v>
      </c>
      <c r="CF2" s="73" t="s">
        <v>39</v>
      </c>
      <c r="CG2" s="72" t="s">
        <v>38</v>
      </c>
      <c r="CH2" s="72" t="s">
        <v>41</v>
      </c>
      <c r="CI2" s="72" t="s">
        <v>40</v>
      </c>
      <c r="CJ2" s="72" t="s">
        <v>42</v>
      </c>
      <c r="CK2" s="72" t="s">
        <v>298</v>
      </c>
      <c r="CL2" s="72" t="s">
        <v>14</v>
      </c>
      <c r="CM2" s="72" t="s">
        <v>29</v>
      </c>
      <c r="CN2" s="72" t="s">
        <v>43</v>
      </c>
      <c r="CO2" s="72" t="s">
        <v>45</v>
      </c>
      <c r="CP2" s="72" t="s">
        <v>44</v>
      </c>
      <c r="CQ2" s="72" t="s">
        <v>46</v>
      </c>
      <c r="CR2" s="73" t="s">
        <v>46</v>
      </c>
      <c r="CS2" s="72" t="s">
        <v>47</v>
      </c>
      <c r="CT2" s="72" t="s">
        <v>48</v>
      </c>
      <c r="CV2" s="74" t="s">
        <v>49</v>
      </c>
      <c r="CW2" s="74"/>
      <c r="CX2" s="74" t="s">
        <v>310</v>
      </c>
      <c r="CY2" s="74" t="s">
        <v>349</v>
      </c>
      <c r="CZ2" s="74"/>
      <c r="DA2" s="151"/>
    </row>
    <row r="3" spans="1:105" ht="12.75">
      <c r="A3" s="6"/>
      <c r="B3" s="71"/>
      <c r="C3" s="72" t="s">
        <v>51</v>
      </c>
      <c r="D3" s="146" t="s">
        <v>51</v>
      </c>
      <c r="E3" s="72" t="s">
        <v>424</v>
      </c>
      <c r="F3" s="76" t="s">
        <v>135</v>
      </c>
      <c r="G3" s="13" t="s">
        <v>135</v>
      </c>
      <c r="H3" s="76" t="s">
        <v>416</v>
      </c>
      <c r="I3" s="76" t="s">
        <v>418</v>
      </c>
      <c r="J3" s="76" t="s">
        <v>436</v>
      </c>
      <c r="K3" s="72" t="s">
        <v>135</v>
      </c>
      <c r="L3" s="76" t="s">
        <v>436</v>
      </c>
      <c r="M3" s="72" t="s">
        <v>29</v>
      </c>
      <c r="N3" s="73" t="s">
        <v>29</v>
      </c>
      <c r="O3" s="73" t="s">
        <v>29</v>
      </c>
      <c r="P3" s="146" t="s">
        <v>29</v>
      </c>
      <c r="Q3" s="72" t="s">
        <v>135</v>
      </c>
      <c r="R3" s="76" t="s">
        <v>436</v>
      </c>
      <c r="S3" s="72" t="s">
        <v>53</v>
      </c>
      <c r="T3" s="146" t="s">
        <v>53</v>
      </c>
      <c r="U3" s="72" t="s">
        <v>52</v>
      </c>
      <c r="V3" s="73" t="s">
        <v>52</v>
      </c>
      <c r="W3" s="72" t="s">
        <v>66</v>
      </c>
      <c r="X3" s="73" t="s">
        <v>66</v>
      </c>
      <c r="Y3" s="73" t="s">
        <v>66</v>
      </c>
      <c r="Z3" s="72" t="s">
        <v>135</v>
      </c>
      <c r="AA3" s="76" t="s">
        <v>436</v>
      </c>
      <c r="AB3" s="72" t="s">
        <v>29</v>
      </c>
      <c r="AC3" s="73" t="s">
        <v>29</v>
      </c>
      <c r="AD3" s="72" t="s">
        <v>53</v>
      </c>
      <c r="AE3" s="72" t="s">
        <v>54</v>
      </c>
      <c r="AF3" s="73" t="s">
        <v>54</v>
      </c>
      <c r="AG3" s="72" t="s">
        <v>135</v>
      </c>
      <c r="AH3" s="72" t="s">
        <v>135</v>
      </c>
      <c r="AI3" s="72" t="s">
        <v>55</v>
      </c>
      <c r="AJ3" s="74" t="s">
        <v>321</v>
      </c>
      <c r="AK3" s="73" t="s">
        <v>321</v>
      </c>
      <c r="AL3" s="72" t="s">
        <v>300</v>
      </c>
      <c r="AM3" s="73" t="s">
        <v>300</v>
      </c>
      <c r="AN3" s="72" t="s">
        <v>29</v>
      </c>
      <c r="AO3" s="73" t="s">
        <v>29</v>
      </c>
      <c r="AP3" s="72" t="s">
        <v>62</v>
      </c>
      <c r="AQ3" s="73" t="s">
        <v>62</v>
      </c>
      <c r="AR3" s="72" t="s">
        <v>203</v>
      </c>
      <c r="AS3" s="72" t="s">
        <v>53</v>
      </c>
      <c r="AT3" s="73" t="s">
        <v>53</v>
      </c>
      <c r="AU3" s="72" t="s">
        <v>304</v>
      </c>
      <c r="AV3" s="73" t="s">
        <v>304</v>
      </c>
      <c r="AW3" s="72" t="s">
        <v>77</v>
      </c>
      <c r="AX3" s="73" t="s">
        <v>77</v>
      </c>
      <c r="AY3" s="72" t="s">
        <v>323</v>
      </c>
      <c r="AZ3" s="72" t="s">
        <v>314</v>
      </c>
      <c r="BA3" s="73" t="s">
        <v>314</v>
      </c>
      <c r="BB3" s="72"/>
      <c r="BC3" s="72" t="s">
        <v>73</v>
      </c>
      <c r="BD3" s="73" t="s">
        <v>73</v>
      </c>
      <c r="BE3" s="72" t="s">
        <v>57</v>
      </c>
      <c r="BF3" s="73" t="s">
        <v>57</v>
      </c>
      <c r="BG3" s="72" t="s">
        <v>61</v>
      </c>
      <c r="BH3" s="73" t="s">
        <v>61</v>
      </c>
      <c r="BI3" s="72"/>
      <c r="BJ3" s="147" t="s">
        <v>436</v>
      </c>
      <c r="BK3" s="72" t="s">
        <v>58</v>
      </c>
      <c r="BL3" s="72" t="s">
        <v>59</v>
      </c>
      <c r="BM3" s="146" t="s">
        <v>59</v>
      </c>
      <c r="BN3" s="146" t="s">
        <v>59</v>
      </c>
      <c r="BO3" s="72" t="s">
        <v>60</v>
      </c>
      <c r="BP3" s="72" t="s">
        <v>63</v>
      </c>
      <c r="BQ3" s="72" t="s">
        <v>64</v>
      </c>
      <c r="BR3" s="72"/>
      <c r="BS3" s="72" t="s">
        <v>315</v>
      </c>
      <c r="BT3" s="73" t="s">
        <v>315</v>
      </c>
      <c r="BU3" s="73" t="s">
        <v>315</v>
      </c>
      <c r="BV3" s="73" t="s">
        <v>315</v>
      </c>
      <c r="BW3" s="72" t="s">
        <v>65</v>
      </c>
      <c r="BX3" s="72" t="s">
        <v>68</v>
      </c>
      <c r="BY3" s="72" t="s">
        <v>29</v>
      </c>
      <c r="BZ3" s="73" t="s">
        <v>29</v>
      </c>
      <c r="CA3" s="72" t="s">
        <v>318</v>
      </c>
      <c r="CB3" s="73" t="s">
        <v>318</v>
      </c>
      <c r="CC3" s="73" t="s">
        <v>318</v>
      </c>
      <c r="CD3" s="72" t="s">
        <v>67</v>
      </c>
      <c r="CE3" s="72" t="s">
        <v>56</v>
      </c>
      <c r="CF3" s="73" t="s">
        <v>63</v>
      </c>
      <c r="CG3" s="72" t="s">
        <v>70</v>
      </c>
      <c r="CH3" s="72" t="s">
        <v>69</v>
      </c>
      <c r="CI3" s="72" t="s">
        <v>71</v>
      </c>
      <c r="CJ3" s="72" t="s">
        <v>72</v>
      </c>
      <c r="CK3" s="72" t="s">
        <v>76</v>
      </c>
      <c r="CL3" s="72" t="s">
        <v>74</v>
      </c>
      <c r="CM3" s="72" t="s">
        <v>75</v>
      </c>
      <c r="CN3" s="72" t="s">
        <v>78</v>
      </c>
      <c r="CO3" s="72" t="s">
        <v>80</v>
      </c>
      <c r="CP3" s="72" t="s">
        <v>79</v>
      </c>
      <c r="CQ3" s="72" t="s">
        <v>81</v>
      </c>
      <c r="CR3" s="73" t="s">
        <v>81</v>
      </c>
      <c r="CS3" s="72" t="s">
        <v>82</v>
      </c>
      <c r="CT3" s="72" t="s">
        <v>83</v>
      </c>
      <c r="CV3" s="74" t="s">
        <v>84</v>
      </c>
      <c r="CW3" s="74"/>
      <c r="CX3" s="74" t="s">
        <v>309</v>
      </c>
      <c r="CY3" s="74" t="s">
        <v>309</v>
      </c>
      <c r="CZ3" s="74"/>
      <c r="DA3" s="151"/>
    </row>
    <row r="4" spans="1:105" ht="12.75">
      <c r="A4" s="14"/>
      <c r="B4" s="77"/>
      <c r="C4" s="78" t="s">
        <v>85</v>
      </c>
      <c r="D4" s="76" t="s">
        <v>436</v>
      </c>
      <c r="E4" s="78" t="s">
        <v>86</v>
      </c>
      <c r="F4" s="76" t="s">
        <v>414</v>
      </c>
      <c r="G4" s="76" t="s">
        <v>415</v>
      </c>
      <c r="H4" s="76" t="s">
        <v>417</v>
      </c>
      <c r="I4" s="76" t="s">
        <v>419</v>
      </c>
      <c r="J4" s="76" t="s">
        <v>419</v>
      </c>
      <c r="K4" s="78" t="s">
        <v>87</v>
      </c>
      <c r="L4" s="76" t="s">
        <v>419</v>
      </c>
      <c r="M4" s="78" t="s">
        <v>88</v>
      </c>
      <c r="N4" s="79" t="s">
        <v>426</v>
      </c>
      <c r="O4" s="79" t="s">
        <v>438</v>
      </c>
      <c r="P4" s="76" t="s">
        <v>436</v>
      </c>
      <c r="Q4" s="78" t="s">
        <v>89</v>
      </c>
      <c r="R4" s="76" t="s">
        <v>419</v>
      </c>
      <c r="S4" s="78" t="s">
        <v>90</v>
      </c>
      <c r="T4" s="76" t="s">
        <v>436</v>
      </c>
      <c r="U4" s="78" t="s">
        <v>91</v>
      </c>
      <c r="V4" s="76" t="s">
        <v>436</v>
      </c>
      <c r="W4" s="78" t="s">
        <v>92</v>
      </c>
      <c r="X4" s="79" t="s">
        <v>440</v>
      </c>
      <c r="Y4" s="79" t="s">
        <v>439</v>
      </c>
      <c r="Z4" s="78" t="s">
        <v>199</v>
      </c>
      <c r="AA4" s="76" t="s">
        <v>419</v>
      </c>
      <c r="AB4" s="78" t="s">
        <v>200</v>
      </c>
      <c r="AC4" s="79" t="s">
        <v>436</v>
      </c>
      <c r="AD4" s="78" t="s">
        <v>201</v>
      </c>
      <c r="AE4" s="78" t="s">
        <v>93</v>
      </c>
      <c r="AF4" s="79" t="s">
        <v>436</v>
      </c>
      <c r="AG4" s="78" t="s">
        <v>94</v>
      </c>
      <c r="AH4" s="78" t="s">
        <v>95</v>
      </c>
      <c r="AI4" s="78" t="s">
        <v>96</v>
      </c>
      <c r="AJ4" s="78" t="s">
        <v>97</v>
      </c>
      <c r="AK4" s="79" t="s">
        <v>436</v>
      </c>
      <c r="AL4" s="78" t="s">
        <v>98</v>
      </c>
      <c r="AM4" s="79" t="s">
        <v>436</v>
      </c>
      <c r="AN4" s="78" t="s">
        <v>99</v>
      </c>
      <c r="AO4" s="79" t="s">
        <v>436</v>
      </c>
      <c r="AP4" s="78" t="s">
        <v>100</v>
      </c>
      <c r="AQ4" s="79" t="s">
        <v>436</v>
      </c>
      <c r="AR4" s="78" t="s">
        <v>101</v>
      </c>
      <c r="AS4" s="78" t="s">
        <v>102</v>
      </c>
      <c r="AT4" s="79" t="s">
        <v>436</v>
      </c>
      <c r="AU4" s="78" t="s">
        <v>103</v>
      </c>
      <c r="AV4" s="79" t="s">
        <v>436</v>
      </c>
      <c r="AW4" s="78" t="s">
        <v>104</v>
      </c>
      <c r="AX4" s="79" t="s">
        <v>436</v>
      </c>
      <c r="AY4" s="78" t="s">
        <v>105</v>
      </c>
      <c r="AZ4" s="78" t="s">
        <v>106</v>
      </c>
      <c r="BA4" s="79" t="s">
        <v>436</v>
      </c>
      <c r="BB4" s="78" t="s">
        <v>361</v>
      </c>
      <c r="BC4" s="78" t="s">
        <v>107</v>
      </c>
      <c r="BD4" s="79" t="s">
        <v>436</v>
      </c>
      <c r="BE4" s="78" t="s">
        <v>108</v>
      </c>
      <c r="BF4" s="79" t="s">
        <v>436</v>
      </c>
      <c r="BG4" s="78" t="s">
        <v>109</v>
      </c>
      <c r="BH4" s="79" t="s">
        <v>436</v>
      </c>
      <c r="BI4" s="78" t="s">
        <v>110</v>
      </c>
      <c r="BJ4" s="79" t="s">
        <v>419</v>
      </c>
      <c r="BK4" s="78" t="s">
        <v>111</v>
      </c>
      <c r="BL4" s="78" t="s">
        <v>112</v>
      </c>
      <c r="BM4" s="79" t="s">
        <v>445</v>
      </c>
      <c r="BN4" s="79" t="s">
        <v>446</v>
      </c>
      <c r="BO4" s="78" t="s">
        <v>113</v>
      </c>
      <c r="BP4" s="78" t="s">
        <v>114</v>
      </c>
      <c r="BQ4" s="78" t="s">
        <v>115</v>
      </c>
      <c r="BR4" s="78" t="s">
        <v>116</v>
      </c>
      <c r="BS4" s="78" t="s">
        <v>430</v>
      </c>
      <c r="BT4" s="79" t="s">
        <v>415</v>
      </c>
      <c r="BU4" s="79" t="s">
        <v>441</v>
      </c>
      <c r="BV4" s="79" t="s">
        <v>436</v>
      </c>
      <c r="BW4" s="78" t="s">
        <v>117</v>
      </c>
      <c r="BX4" s="78" t="s">
        <v>118</v>
      </c>
      <c r="BY4" s="78" t="s">
        <v>119</v>
      </c>
      <c r="BZ4" s="79" t="s">
        <v>436</v>
      </c>
      <c r="CA4" s="78" t="s">
        <v>120</v>
      </c>
      <c r="CB4" s="79" t="s">
        <v>415</v>
      </c>
      <c r="CC4" s="79" t="s">
        <v>414</v>
      </c>
      <c r="CD4" s="78" t="s">
        <v>121</v>
      </c>
      <c r="CE4" s="78" t="s">
        <v>122</v>
      </c>
      <c r="CF4" s="79" t="s">
        <v>436</v>
      </c>
      <c r="CG4" s="78" t="s">
        <v>123</v>
      </c>
      <c r="CH4" s="78" t="s">
        <v>431</v>
      </c>
      <c r="CI4" s="78" t="s">
        <v>124</v>
      </c>
      <c r="CJ4" s="78" t="s">
        <v>125</v>
      </c>
      <c r="CK4" s="78" t="s">
        <v>126</v>
      </c>
      <c r="CL4" s="78" t="s">
        <v>127</v>
      </c>
      <c r="CM4" s="78" t="s">
        <v>128</v>
      </c>
      <c r="CN4" s="78" t="s">
        <v>129</v>
      </c>
      <c r="CO4" s="78" t="s">
        <v>130</v>
      </c>
      <c r="CP4" s="78" t="s">
        <v>205</v>
      </c>
      <c r="CQ4" s="78" t="s">
        <v>432</v>
      </c>
      <c r="CR4" s="79" t="s">
        <v>436</v>
      </c>
      <c r="CS4" s="78" t="s">
        <v>131</v>
      </c>
      <c r="CT4" s="78" t="s">
        <v>132</v>
      </c>
      <c r="CV4" s="80"/>
      <c r="CW4" s="80"/>
      <c r="CX4" s="80" t="s">
        <v>378</v>
      </c>
      <c r="CY4" s="80" t="s">
        <v>443</v>
      </c>
      <c r="CZ4" s="80"/>
      <c r="DA4" s="152"/>
    </row>
    <row r="5" spans="1:105" ht="12.75">
      <c r="A5" s="6"/>
      <c r="B5" s="81"/>
      <c r="C5" s="1"/>
      <c r="D5" s="76" t="s">
        <v>419</v>
      </c>
      <c r="E5" s="1"/>
      <c r="F5" s="48"/>
      <c r="G5" s="48"/>
      <c r="H5" s="48"/>
      <c r="I5" s="48"/>
      <c r="J5" s="48"/>
      <c r="K5" s="1"/>
      <c r="L5" s="48"/>
      <c r="M5" s="1"/>
      <c r="N5" s="48"/>
      <c r="O5" s="79" t="s">
        <v>419</v>
      </c>
      <c r="P5" s="76" t="s">
        <v>419</v>
      </c>
      <c r="Q5" s="1"/>
      <c r="R5" s="48"/>
      <c r="S5" s="1"/>
      <c r="T5" s="76" t="s">
        <v>419</v>
      </c>
      <c r="U5" s="1"/>
      <c r="V5" s="76" t="s">
        <v>419</v>
      </c>
      <c r="W5" s="1"/>
      <c r="X5" s="79" t="s">
        <v>419</v>
      </c>
      <c r="Y5" s="79" t="s">
        <v>419</v>
      </c>
      <c r="Z5" s="1"/>
      <c r="AA5" s="48"/>
      <c r="AB5" s="1"/>
      <c r="AC5" s="79" t="s">
        <v>419</v>
      </c>
      <c r="AD5" s="1"/>
      <c r="AE5" s="1"/>
      <c r="AF5" s="79" t="s">
        <v>419</v>
      </c>
      <c r="AG5" s="1"/>
      <c r="AH5" s="1"/>
      <c r="AI5" s="1"/>
      <c r="AJ5" s="1"/>
      <c r="AK5" s="79" t="s">
        <v>419</v>
      </c>
      <c r="AL5" s="1"/>
      <c r="AM5" s="79" t="s">
        <v>419</v>
      </c>
      <c r="AN5" s="1"/>
      <c r="AO5" s="79" t="s">
        <v>419</v>
      </c>
      <c r="AP5" s="1"/>
      <c r="AQ5" s="79" t="s">
        <v>419</v>
      </c>
      <c r="AR5" s="1"/>
      <c r="AS5" s="1"/>
      <c r="AT5" s="79" t="s">
        <v>419</v>
      </c>
      <c r="AU5" s="1"/>
      <c r="AV5" s="79" t="s">
        <v>419</v>
      </c>
      <c r="AW5" s="1"/>
      <c r="AX5" s="79" t="s">
        <v>419</v>
      </c>
      <c r="AY5" s="1"/>
      <c r="AZ5" s="1"/>
      <c r="BA5" s="79" t="s">
        <v>419</v>
      </c>
      <c r="BB5" s="1"/>
      <c r="BC5" s="1"/>
      <c r="BD5" s="79" t="s">
        <v>419</v>
      </c>
      <c r="BE5" s="1"/>
      <c r="BF5" s="79" t="s">
        <v>419</v>
      </c>
      <c r="BG5" s="1"/>
      <c r="BH5" s="79" t="s">
        <v>419</v>
      </c>
      <c r="BI5" s="1"/>
      <c r="BJ5" s="79"/>
      <c r="BK5" s="1"/>
      <c r="BL5" s="1"/>
      <c r="BM5" s="79"/>
      <c r="BN5" s="79"/>
      <c r="BO5" s="1"/>
      <c r="BP5" s="1"/>
      <c r="BQ5" s="1"/>
      <c r="BR5" s="1"/>
      <c r="BS5" s="1"/>
      <c r="BT5" s="48"/>
      <c r="BU5" s="48"/>
      <c r="BV5" s="79" t="s">
        <v>419</v>
      </c>
      <c r="BW5" s="1"/>
      <c r="BX5" s="1"/>
      <c r="BY5" s="1"/>
      <c r="BZ5" s="79" t="s">
        <v>419</v>
      </c>
      <c r="CA5" s="1"/>
      <c r="CB5" s="79"/>
      <c r="CC5" s="79"/>
      <c r="CD5" s="1"/>
      <c r="CE5" s="1"/>
      <c r="CF5" s="79" t="s">
        <v>419</v>
      </c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79" t="s">
        <v>419</v>
      </c>
      <c r="CS5" s="1"/>
      <c r="CT5" s="1"/>
      <c r="CV5" s="5"/>
      <c r="CW5" s="5"/>
      <c r="CX5" s="82"/>
      <c r="CY5" s="82"/>
      <c r="CZ5" s="5"/>
      <c r="DA5" s="5"/>
    </row>
    <row r="6" spans="1:105" ht="12.75">
      <c r="A6" s="47" t="s">
        <v>136</v>
      </c>
      <c r="B6" s="10">
        <v>1</v>
      </c>
      <c r="C6" s="153">
        <f>SUM((1+Útreikningar!B66)/SUM(1+Útreikningar!B67))-1</f>
        <v>0.010750325575790143</v>
      </c>
      <c r="D6" s="154">
        <v>0.011</v>
      </c>
      <c r="E6" s="153">
        <f>SUM(1+Útreikningar!D66)/SUM(1+Útreikningar!D67)-1</f>
        <v>0.014645214978941334</v>
      </c>
      <c r="F6" s="154">
        <f>SUM(1+Útreikningar!E66)/SUM(1+Útreikningar!E67)-1</f>
        <v>0.02164571542440763</v>
      </c>
      <c r="G6" s="154">
        <f>SUM(1+Útreikningar!F66)/SUM(1+Útreikningar!F67)-1</f>
        <v>-0.018388198944865652</v>
      </c>
      <c r="H6" s="154">
        <f>SUM(1+Útreikningar!G66)/SUM(1+Útreikningar!G67)-1</f>
        <v>0.028684483625608825</v>
      </c>
      <c r="I6" s="154">
        <f>SUM(1+Útreikningar!H66)/SUM(1+Útreikningar!H67)-1</f>
        <v>0.02185313937894584</v>
      </c>
      <c r="J6" s="154">
        <f>SUM(1+Útreikningar!I66)/SUM(1+Útreikningar!I67)-1</f>
        <v>-0.15256350857782797</v>
      </c>
      <c r="K6" s="153">
        <f>SUM(1+Útreikningar!J66)/SUM(1+Útreikningar!J67)-1</f>
        <v>-0.006074395231856156</v>
      </c>
      <c r="L6" s="153"/>
      <c r="M6" s="153">
        <f>SUM(1+Útreikningar!L66)/SUM(1+Útreikningar!L67)-1</f>
        <v>-0.008745183338608298</v>
      </c>
      <c r="N6" s="154">
        <f>SUM(1+Útreikningar!M66)/SUM(1+Útreikningar!M67)-1</f>
        <v>-0.008732550204683442</v>
      </c>
      <c r="O6" s="154">
        <f>SUM(1+Útreikningar!N66)/SUM(1+Útreikningar!N67)-1</f>
        <v>0.019443330166166062</v>
      </c>
      <c r="P6" s="154"/>
      <c r="Q6" s="153">
        <f>SUM(1+Útreikningar!P66)/SUM(1+Útreikningar!P67)-1</f>
        <v>-0.005229818215952586</v>
      </c>
      <c r="R6" s="154">
        <f>SUM(1+Útreikningar!Q66)/SUM(1+Útreikningar!Q67)-1</f>
        <v>0.018056948233677872</v>
      </c>
      <c r="S6" s="153">
        <f>SUM(1+Útreikningar!R66)/SUM(1+Útreikningar!R67)-1</f>
        <v>-0.02532830580837231</v>
      </c>
      <c r="T6" s="153"/>
      <c r="U6" s="153">
        <f>SUM(1+Útreikningar!T66)/SUM(1+Útreikningar!T67)-1</f>
        <v>0.015345595094107933</v>
      </c>
      <c r="V6" s="153"/>
      <c r="W6" s="153">
        <f>SUM(1+Útreikningar!V66)/SUM(1+Útreikningar!V67)-1</f>
        <v>-0.026513605473705626</v>
      </c>
      <c r="X6" s="154">
        <f>SUM(1+Útreikningar!W66)/SUM(1+Útreikningar!W67)-1</f>
        <v>-0.027194850319639974</v>
      </c>
      <c r="Y6" s="154">
        <f>SUM(1+Útreikningar!X66)/SUM(1+Útreikningar!X67)-1</f>
        <v>-0.02209447500209194</v>
      </c>
      <c r="Z6" s="153">
        <f>SUM(1+Útreikningar!Y66)/SUM(1+Útreikningar!Y67)-1</f>
        <v>0.0021511128513385103</v>
      </c>
      <c r="AA6" s="153"/>
      <c r="AB6" s="153">
        <f>SUM(1+Útreikningar!AA66)/SUM(1+Útreikningar!AA67)-1</f>
        <v>0.01873564260622773</v>
      </c>
      <c r="AC6" s="153">
        <f>+AB6</f>
        <v>0.01873564260622773</v>
      </c>
      <c r="AD6" s="153">
        <f>SUM(1+Útreikningar!AC66)/SUM(1+Útreikningar!AC67)-1</f>
        <v>-0.042752078211483524</v>
      </c>
      <c r="AE6" s="153">
        <f>SUM(1+Útreikningar!AD66)/SUM(1+Útreikningar!AD67)-1</f>
        <v>-0.049143226388658534</v>
      </c>
      <c r="AF6" s="153">
        <f>+AE6</f>
        <v>-0.049143226388658534</v>
      </c>
      <c r="AG6" s="153">
        <f>SUM(1+Útreikningar!AF66)/SUM(1+Útreikningar!AF67)-1</f>
        <v>-0.043384074135352835</v>
      </c>
      <c r="AH6" s="153">
        <f>SUM(1+Útreikningar!AG66)/SUM(1+Útreikningar!AG67)-1</f>
        <v>-0.01816259253207886</v>
      </c>
      <c r="AI6" s="153">
        <f>SUM(1+Útreikningar!AH66)/SUM(1+Útreikningar!AH67)-1</f>
        <v>-0.03702445466177773</v>
      </c>
      <c r="AJ6" s="153">
        <f>SUM(1+Útreikningar!AI66)/SUM(1+Útreikningar!AI67)-1</f>
        <v>-0.07866919975093212</v>
      </c>
      <c r="AK6" s="153"/>
      <c r="AL6" s="153">
        <f>SUM(1+Útreikningar!AK66)/SUM(1+Útreikningar!AK67)-1</f>
        <v>0.0038906742136852746</v>
      </c>
      <c r="AM6" s="153"/>
      <c r="AN6" s="153">
        <f>SUM(1+Útreikningar!AM66)/SUM(1+Útreikningar!AM67)-1</f>
        <v>-0.011003934620776312</v>
      </c>
      <c r="AO6" s="153">
        <f>+AN6</f>
        <v>-0.011003934620776312</v>
      </c>
      <c r="AP6" s="153">
        <f>SUM(1+Útreikningar!AO66)/SUM(1+Útreikningar!AO67)-1</f>
        <v>-0.033877345598807285</v>
      </c>
      <c r="AQ6" s="153"/>
      <c r="AR6" s="153">
        <f>SUM(1+Útreikningar!AQ66)/SUM(1+Útreikningar!AQ67)-1</f>
        <v>0.0070194826447649294</v>
      </c>
      <c r="AS6" s="153">
        <f>SUM(1+Útreikningar!AR66)/SUM(1+Útreikningar!AR67)-1</f>
        <v>-0.02649691294262002</v>
      </c>
      <c r="AT6" s="153">
        <f>+AS6</f>
        <v>-0.02649691294262002</v>
      </c>
      <c r="AU6" s="153">
        <f>SUM(1+Útreikningar!AT66)/SUM(1+Útreikningar!AT67)-1</f>
        <v>0.0319220122448991</v>
      </c>
      <c r="AV6" s="153"/>
      <c r="AW6" s="153">
        <f>SUM(1+Útreikningar!AV66)/SUM(1+Útreikningar!AV67)-1</f>
        <v>-0.07396672387507819</v>
      </c>
      <c r="AX6" s="154">
        <f>+AW6</f>
        <v>-0.07396672387507819</v>
      </c>
      <c r="AY6" s="153">
        <f>SUM(1+Útreikningar!AX66)/SUM(1+Útreikningar!AX67)-1</f>
        <v>-0.014136053128414816</v>
      </c>
      <c r="AZ6" s="153">
        <f>SUM(1+Útreikningar!AY66)/SUM(1+Útreikningar!AY67)-1</f>
        <v>-0.03565871569471024</v>
      </c>
      <c r="BA6" s="153"/>
      <c r="BB6" s="153">
        <f>SUM(1+Útreikningar!BA66)/SUM(1+Útreikningar!BA67)-1</f>
        <v>-0.018254015254565936</v>
      </c>
      <c r="BC6" s="153">
        <f>SUM(1+Útreikningar!BB66)/SUM(1+Útreikningar!BB67)-1</f>
        <v>-0.04597579504556171</v>
      </c>
      <c r="BD6" s="153"/>
      <c r="BE6" s="153">
        <f>SUM(1+Útreikningar!BD66)/SUM(1+Útreikningar!BD67)-1</f>
        <v>0.029328408439517117</v>
      </c>
      <c r="BF6" s="153"/>
      <c r="BG6" s="153">
        <f>SUM(1+Útreikningar!BF66)/SUM(1+Útreikningar!BF67)-1</f>
        <v>0.0385863235952848</v>
      </c>
      <c r="BH6" s="153">
        <f>+BG6</f>
        <v>0.0385863235952848</v>
      </c>
      <c r="BI6" s="153">
        <f>SUM(1+Útreikningar!BH66)/SUM(1+Útreikningar!BH67)-1</f>
        <v>0.03913826310651758</v>
      </c>
      <c r="BJ6" s="153"/>
      <c r="BK6" s="153">
        <f>SUM(1+Útreikningar!BJ66)/SUM(1+Útreikningar!BJ67)-1</f>
        <v>-0.003212954421360492</v>
      </c>
      <c r="BL6" s="153">
        <f>SUM(1+Útreikningar!BK66)/SUM(1+Útreikningar!BK67)-1</f>
        <v>-0.07743369929624433</v>
      </c>
      <c r="BM6" s="154">
        <f>SUM(1+Útreikningar!BL66)/SUM(1+Útreikningar!BL67)-1</f>
        <v>-0.08474872227700747</v>
      </c>
      <c r="BN6" s="154">
        <f>SUM(1+Útreikningar!BM66)/SUM(1+Útreikningar!BM67)-1</f>
        <v>0.002509635797952603</v>
      </c>
      <c r="BO6" s="153">
        <f>SUM(1+Útreikningar!BN66)/SUM(1+Útreikningar!BN67)-1</f>
        <v>-0.029975200657824774</v>
      </c>
      <c r="BP6" s="153">
        <f>SUM(1+Útreikningar!BO66)/SUM(1+Útreikningar!BO67)-1</f>
        <v>0.024144307673954257</v>
      </c>
      <c r="BQ6" s="153">
        <f>SUM(1+Útreikningar!BP66)/SUM(1+Útreikningar!BP67)-1</f>
        <v>-0.056751810121072443</v>
      </c>
      <c r="BR6" s="153">
        <f>SUM(1+Útreikningar!BQ66)/SUM(1+Útreikningar!BQ67)-1</f>
        <v>0.03131319791984488</v>
      </c>
      <c r="BS6" s="153">
        <f>SUM(1+Útreikningar!BR66)/SUM(1+Útreikningar!BR67)-1</f>
        <v>-0.0973983381616732</v>
      </c>
      <c r="BT6" s="154">
        <f>SUM(1+Útreikningar!BS66)/SUM(1+Útreikningar!BS67)-1</f>
        <v>-0.09729103732182398</v>
      </c>
      <c r="BU6" s="154">
        <f>SUM(1+Útreikningar!BT66)/SUM(1+Útreikningar!BT67)-1</f>
        <v>-0.09836992999947825</v>
      </c>
      <c r="BV6" s="154"/>
      <c r="BW6" s="153">
        <f>SUM(1+Útreikningar!BV66)/SUM(1+Útreikningar!BV67)-1</f>
        <v>-0.06202314881129878</v>
      </c>
      <c r="BX6" s="153">
        <f>SUM(1+Útreikningar!BW66)/SUM(1+Útreikningar!BW67)-1</f>
        <v>0.021851727056141135</v>
      </c>
      <c r="BY6" s="153">
        <f>SUM(1+Útreikningar!BX66)/SUM(1+Útreikningar!BX67)-1</f>
        <v>-0.08791105803628074</v>
      </c>
      <c r="BZ6" s="153"/>
      <c r="CA6" s="153"/>
      <c r="CB6" s="153">
        <f>SUM(1+Útreikningar!CA66)/SUM(1+Útreikningar!CA67)-1</f>
        <v>-0.10379422942800454</v>
      </c>
      <c r="CC6" s="153">
        <f>SUM(1+Útreikningar!CB66)/SUM(1+Útreikningar!CB67)-1</f>
        <v>0.007711827779712355</v>
      </c>
      <c r="CD6" s="153">
        <f>SUM(1+Útreikningar!CC66)/SUM(1+Útreikningar!CC67)-1</f>
        <v>0.028155737286794436</v>
      </c>
      <c r="CE6" s="153">
        <f>SUM(1+Útreikningar!CD66)/SUM(1+Útreikningar!CD67)-1</f>
        <v>-0.08506043470191538</v>
      </c>
      <c r="CF6" s="154">
        <f>+CE6</f>
        <v>-0.08506043470191538</v>
      </c>
      <c r="CG6" s="153">
        <f>SUM(1+Útreikningar!CF66)/SUM(1+Útreikningar!CF67)-1</f>
        <v>0.03296501530859408</v>
      </c>
      <c r="CH6" s="153">
        <f>SUM(1+Útreikningar!CG66)/SUM(1+Útreikningar!CG67)-1</f>
        <v>0.057344050448868034</v>
      </c>
      <c r="CI6" s="153">
        <f>SUM(1+Útreikningar!CH66)/SUM(1+Útreikningar!CH67)-1</f>
        <v>-0.017048514371834966</v>
      </c>
      <c r="CJ6" s="153">
        <f>SUM(1+Útreikningar!CI66)/SUM(1+Útreikningar!CI67)-1</f>
        <v>0.032346399693051975</v>
      </c>
      <c r="CK6" s="153">
        <f>SUM(1+Útreikningar!CJ66)/SUM(1+Útreikningar!CJ67)-1</f>
        <v>-0.0036539648690654403</v>
      </c>
      <c r="CL6" s="153">
        <f>SUM(1+Útreikningar!CK66)/SUM(1+Útreikningar!CK67)-1</f>
        <v>0.0003475890259962977</v>
      </c>
      <c r="CM6" s="153">
        <f>SUM(1+Útreikningar!CL66)/SUM(1+Útreikningar!CL67)-1</f>
        <v>0.07486291663091715</v>
      </c>
      <c r="CN6" s="153">
        <f>SUM(1+Útreikningar!CM66)/SUM(1+Útreikningar!CM67)-1</f>
        <v>0.02859288208740951</v>
      </c>
      <c r="CO6" s="153">
        <f>SUM(1+Útreikningar!CN66)/SUM(1+Útreikningar!CN67)-1</f>
        <v>-0.0035840865535450295</v>
      </c>
      <c r="CP6" s="153">
        <f>SUM(1+Útreikningar!CO66)/SUM(1+Útreikningar!CO67)-1</f>
        <v>0.019430154653089504</v>
      </c>
      <c r="CQ6" s="153">
        <f>SUM(1+Útreikningar!CP66)/SUM(1+Útreikningar!CP67)-1</f>
        <v>0.04883517151166039</v>
      </c>
      <c r="CR6" s="154">
        <f>+CQ6</f>
        <v>0.04883517151166039</v>
      </c>
      <c r="CS6" s="153">
        <f>SUM(1+Útreikningar!CR66)/SUM(1+Útreikningar!CR67)-1</f>
        <v>0.029323695588694854</v>
      </c>
      <c r="CT6" s="153">
        <f>SUM(1+Útreikningar!CS66)/SUM(1+Útreikningar!CS67)-1</f>
        <v>-0.02887810126214152</v>
      </c>
      <c r="CU6" s="153"/>
      <c r="CV6" s="153">
        <f>SUM(1+Útreikningar!CV66)/SUM(1+Útreikningar!CV67)-1</f>
        <v>-0.0073865812537713404</v>
      </c>
      <c r="CX6" s="153">
        <f>SUM(1+Útreikningar!CX66)/SUM(1+Útreikningar!CX67)-1</f>
        <v>0.011143488146751146</v>
      </c>
      <c r="CY6" s="153">
        <f>SUM(1+Útreikningar!CY66)/SUM(1+Útreikningar!CY67)-1</f>
        <v>-0.010911053991580988</v>
      </c>
      <c r="CZ6" s="153"/>
      <c r="DA6" s="83"/>
    </row>
    <row r="7" spans="1:105" ht="34.5" customHeight="1" hidden="1">
      <c r="A7" s="47"/>
      <c r="B7" s="10"/>
      <c r="C7" s="153"/>
      <c r="D7" s="154"/>
      <c r="E7" s="153"/>
      <c r="F7" s="154"/>
      <c r="G7" s="154"/>
      <c r="H7" s="154"/>
      <c r="I7" s="154"/>
      <c r="J7" s="154"/>
      <c r="K7" s="153"/>
      <c r="L7" s="155"/>
      <c r="M7" s="153"/>
      <c r="N7" s="154"/>
      <c r="O7" s="154"/>
      <c r="P7" s="154"/>
      <c r="Q7" s="153"/>
      <c r="R7" s="154"/>
      <c r="S7" s="153"/>
      <c r="T7" s="156"/>
      <c r="U7" s="153"/>
      <c r="V7" s="154"/>
      <c r="W7" s="153"/>
      <c r="X7" s="154"/>
      <c r="Y7" s="154"/>
      <c r="Z7" s="153"/>
      <c r="AA7" s="155"/>
      <c r="AB7" s="153"/>
      <c r="AC7" s="154"/>
      <c r="AD7" s="153"/>
      <c r="AE7" s="153"/>
      <c r="AF7" s="154"/>
      <c r="AG7" s="153"/>
      <c r="AH7" s="153"/>
      <c r="AI7" s="153"/>
      <c r="AJ7" s="153"/>
      <c r="AK7" s="154"/>
      <c r="AL7" s="153"/>
      <c r="AM7" s="155"/>
      <c r="AN7" s="153"/>
      <c r="AO7" s="155"/>
      <c r="AP7" s="153"/>
      <c r="AQ7" s="157"/>
      <c r="AR7" s="153"/>
      <c r="AS7" s="153"/>
      <c r="AT7" s="155"/>
      <c r="AU7" s="153"/>
      <c r="AV7" s="155"/>
      <c r="AW7" s="153"/>
      <c r="AX7" s="155"/>
      <c r="AY7" s="153"/>
      <c r="AZ7" s="153"/>
      <c r="BA7" s="158"/>
      <c r="BB7" s="153"/>
      <c r="BC7" s="153"/>
      <c r="BD7" s="155"/>
      <c r="BE7" s="153"/>
      <c r="BF7" s="155"/>
      <c r="BG7" s="153"/>
      <c r="BH7" s="155"/>
      <c r="BI7" s="153"/>
      <c r="BJ7" s="155"/>
      <c r="BK7" s="153"/>
      <c r="BL7" s="153"/>
      <c r="BM7" s="155"/>
      <c r="BN7" s="155"/>
      <c r="BO7" s="153"/>
      <c r="BP7" s="153"/>
      <c r="BQ7" s="153"/>
      <c r="BR7" s="153"/>
      <c r="BS7" s="153"/>
      <c r="BT7" s="154"/>
      <c r="BU7" s="154"/>
      <c r="BV7" s="154"/>
      <c r="BW7" s="153"/>
      <c r="BX7" s="153"/>
      <c r="BY7" s="153"/>
      <c r="BZ7" s="154"/>
      <c r="CA7" s="153"/>
      <c r="CB7" s="154"/>
      <c r="CC7" s="154"/>
      <c r="CD7" s="153"/>
      <c r="CE7" s="153"/>
      <c r="CF7" s="154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4"/>
      <c r="CS7" s="153"/>
      <c r="CT7" s="153"/>
      <c r="CV7" s="153"/>
      <c r="CW7" s="153"/>
      <c r="CX7" s="153"/>
      <c r="CY7" s="153"/>
      <c r="CZ7" s="153"/>
      <c r="DA7" s="83"/>
    </row>
    <row r="8" spans="1:105" ht="12.75">
      <c r="A8" s="47" t="s">
        <v>411</v>
      </c>
      <c r="B8" s="10">
        <v>2</v>
      </c>
      <c r="C8" s="153">
        <v>0.076</v>
      </c>
      <c r="D8" s="154"/>
      <c r="E8" s="153">
        <v>0.051</v>
      </c>
      <c r="F8" s="154">
        <v>0.0508</v>
      </c>
      <c r="G8" s="159" t="s">
        <v>425</v>
      </c>
      <c r="H8" s="154"/>
      <c r="I8" s="154"/>
      <c r="J8" s="159" t="s">
        <v>489</v>
      </c>
      <c r="K8" s="153">
        <v>0.0755</v>
      </c>
      <c r="L8" s="154"/>
      <c r="M8" s="153">
        <v>0.079</v>
      </c>
      <c r="N8" s="160"/>
      <c r="O8" s="160"/>
      <c r="P8" s="154"/>
      <c r="Q8" s="153">
        <v>0.0683</v>
      </c>
      <c r="R8" s="154"/>
      <c r="S8" s="153">
        <v>0.0883</v>
      </c>
      <c r="T8" s="154"/>
      <c r="U8" s="153">
        <v>0.0605</v>
      </c>
      <c r="V8" s="154"/>
      <c r="W8" s="153">
        <v>0.0477</v>
      </c>
      <c r="X8" s="154"/>
      <c r="Y8" s="154"/>
      <c r="Z8" s="161" t="s">
        <v>490</v>
      </c>
      <c r="AA8" s="154"/>
      <c r="AB8" s="153">
        <v>0.084</v>
      </c>
      <c r="AC8" s="154"/>
      <c r="AD8" s="162">
        <v>0.0634</v>
      </c>
      <c r="AE8" s="153">
        <v>0.0617</v>
      </c>
      <c r="AF8" s="154"/>
      <c r="AG8" s="153">
        <v>0.075</v>
      </c>
      <c r="AH8" s="153">
        <v>0.0681</v>
      </c>
      <c r="AI8" s="161" t="s">
        <v>428</v>
      </c>
      <c r="AJ8" s="153">
        <v>0.0763</v>
      </c>
      <c r="AK8" s="154"/>
      <c r="AL8" s="153">
        <v>0.0709</v>
      </c>
      <c r="AM8" s="154"/>
      <c r="AN8" s="153">
        <v>0.071</v>
      </c>
      <c r="AO8" s="154"/>
      <c r="AP8" s="153">
        <v>0.049</v>
      </c>
      <c r="AQ8" s="154"/>
      <c r="AR8" s="153">
        <v>0.0553</v>
      </c>
      <c r="AS8" s="153">
        <v>0.072</v>
      </c>
      <c r="AT8" s="154"/>
      <c r="AU8" s="153">
        <v>0.0603</v>
      </c>
      <c r="AV8" s="154"/>
      <c r="AW8" s="162">
        <v>0.056</v>
      </c>
      <c r="AX8" s="154"/>
      <c r="AY8" s="153">
        <v>0.0619</v>
      </c>
      <c r="AZ8" s="161" t="s">
        <v>455</v>
      </c>
      <c r="BA8" s="154"/>
      <c r="BB8" s="153">
        <v>0.064</v>
      </c>
      <c r="BC8" s="153">
        <v>0.0496</v>
      </c>
      <c r="BD8" s="154"/>
      <c r="BE8" s="153">
        <v>0.0628</v>
      </c>
      <c r="BF8" s="154"/>
      <c r="BG8" s="153">
        <v>0.119</v>
      </c>
      <c r="BH8" s="154"/>
      <c r="BI8" s="162"/>
      <c r="BJ8" s="154"/>
      <c r="BK8" s="162">
        <v>0.0451</v>
      </c>
      <c r="BL8" s="153">
        <v>0.0663</v>
      </c>
      <c r="BM8" s="154"/>
      <c r="BN8" s="154"/>
      <c r="BO8" s="153">
        <v>0.054</v>
      </c>
      <c r="BP8" s="153">
        <v>0.0664</v>
      </c>
      <c r="BQ8" s="153">
        <v>0.0458</v>
      </c>
      <c r="BR8" s="153">
        <v>0.051</v>
      </c>
      <c r="BS8" s="153"/>
      <c r="BT8" s="160"/>
      <c r="BU8" s="160"/>
      <c r="BV8" s="160"/>
      <c r="BW8" s="153">
        <v>0.0496</v>
      </c>
      <c r="BX8" s="162">
        <v>0.068</v>
      </c>
      <c r="BY8" s="153">
        <v>0.0584</v>
      </c>
      <c r="BZ8" s="160"/>
      <c r="CA8" s="162"/>
      <c r="CB8" s="160"/>
      <c r="CC8" s="160">
        <v>0.058</v>
      </c>
      <c r="CD8" s="153">
        <v>0.058</v>
      </c>
      <c r="CE8" s="153">
        <v>0.0494</v>
      </c>
      <c r="CF8" s="160"/>
      <c r="CG8" s="153">
        <v>0.0628</v>
      </c>
      <c r="CH8" s="153">
        <v>0.058</v>
      </c>
      <c r="CI8" s="153">
        <v>0.054</v>
      </c>
      <c r="CJ8" s="153">
        <v>0.057</v>
      </c>
      <c r="CK8" s="162">
        <v>0.0441</v>
      </c>
      <c r="CL8" s="162">
        <v>0.052</v>
      </c>
      <c r="CM8" s="153">
        <v>0.0713</v>
      </c>
      <c r="CN8" s="153">
        <v>0.048</v>
      </c>
      <c r="CO8" s="153">
        <v>0.037</v>
      </c>
      <c r="CP8" s="153">
        <v>0.031</v>
      </c>
      <c r="CQ8" s="163">
        <v>0.0485</v>
      </c>
      <c r="CR8" s="164"/>
      <c r="CS8" s="153">
        <v>0.0438</v>
      </c>
      <c r="CT8" s="153"/>
      <c r="CV8" s="153"/>
      <c r="CW8" s="153"/>
      <c r="CX8" s="9"/>
      <c r="CY8" s="9"/>
      <c r="CZ8" s="153"/>
      <c r="DA8" s="165"/>
    </row>
    <row r="9" spans="1:113" ht="18" customHeight="1">
      <c r="A9" s="166" t="s">
        <v>363</v>
      </c>
      <c r="B9" s="10"/>
      <c r="C9" s="167">
        <v>34.5</v>
      </c>
      <c r="D9" s="168"/>
      <c r="E9" s="167">
        <v>21.8</v>
      </c>
      <c r="F9" s="168">
        <v>18.6</v>
      </c>
      <c r="G9" s="168">
        <v>35.2</v>
      </c>
      <c r="H9" s="168">
        <v>0</v>
      </c>
      <c r="I9" s="168">
        <v>0</v>
      </c>
      <c r="J9" s="168">
        <v>92</v>
      </c>
      <c r="K9" s="167">
        <v>36.05</v>
      </c>
      <c r="L9" s="168"/>
      <c r="M9" s="169"/>
      <c r="N9" s="170"/>
      <c r="O9" s="170"/>
      <c r="P9" s="168"/>
      <c r="Q9" s="167">
        <v>29.4</v>
      </c>
      <c r="R9" s="168">
        <v>100</v>
      </c>
      <c r="S9" s="167">
        <v>35</v>
      </c>
      <c r="T9" s="168"/>
      <c r="U9" s="167">
        <v>23.2</v>
      </c>
      <c r="V9" s="168"/>
      <c r="W9" s="167">
        <v>67.83</v>
      </c>
      <c r="X9" s="168"/>
      <c r="Y9" s="168"/>
      <c r="Z9" s="167">
        <v>34.5</v>
      </c>
      <c r="AA9" s="168"/>
      <c r="AB9" s="167">
        <v>24</v>
      </c>
      <c r="AC9" s="168"/>
      <c r="AD9" s="169">
        <v>46.49</v>
      </c>
      <c r="AE9" s="167">
        <v>42.1</v>
      </c>
      <c r="AF9" s="168"/>
      <c r="AG9" s="167">
        <v>64.5</v>
      </c>
      <c r="AH9" s="167">
        <v>54.29</v>
      </c>
      <c r="AI9" s="167">
        <v>66.75</v>
      </c>
      <c r="AJ9" s="167">
        <v>41.93</v>
      </c>
      <c r="AK9" s="168"/>
      <c r="AL9" s="167">
        <v>33.66</v>
      </c>
      <c r="AM9" s="168"/>
      <c r="AN9" s="167">
        <v>49.2</v>
      </c>
      <c r="AO9" s="168"/>
      <c r="AP9" s="167">
        <v>91</v>
      </c>
      <c r="AQ9" s="168"/>
      <c r="AR9" s="167">
        <v>25.3</v>
      </c>
      <c r="AS9" s="167">
        <v>33.03</v>
      </c>
      <c r="AT9" s="168"/>
      <c r="AU9" s="167">
        <v>14.61</v>
      </c>
      <c r="AV9" s="168"/>
      <c r="AW9" s="169">
        <v>34.9</v>
      </c>
      <c r="AX9" s="168"/>
      <c r="AY9" s="167">
        <v>28.8</v>
      </c>
      <c r="AZ9" s="167">
        <v>78.61</v>
      </c>
      <c r="BA9" s="168"/>
      <c r="BB9" s="167">
        <v>69.83</v>
      </c>
      <c r="BC9" s="167">
        <v>71.5</v>
      </c>
      <c r="BD9" s="168"/>
      <c r="BE9" s="167">
        <v>16.1</v>
      </c>
      <c r="BF9" s="168"/>
      <c r="BG9" s="167">
        <v>25.1</v>
      </c>
      <c r="BH9" s="168"/>
      <c r="BI9" s="169">
        <v>13.7</v>
      </c>
      <c r="BJ9" s="168"/>
      <c r="BK9" s="169">
        <v>14.7</v>
      </c>
      <c r="BL9" s="167">
        <v>20.5</v>
      </c>
      <c r="BM9" s="168"/>
      <c r="BN9" s="168"/>
      <c r="BO9" s="167">
        <v>92</v>
      </c>
      <c r="BP9" s="167">
        <v>16.16</v>
      </c>
      <c r="BQ9" s="167">
        <v>56.65</v>
      </c>
      <c r="BR9" s="167">
        <v>9.4</v>
      </c>
      <c r="BS9" s="169">
        <v>72.88</v>
      </c>
      <c r="BT9" s="170"/>
      <c r="BU9" s="170"/>
      <c r="BV9" s="170"/>
      <c r="BW9" s="167">
        <v>47.79</v>
      </c>
      <c r="BX9" s="169">
        <v>44.9</v>
      </c>
      <c r="BY9" s="167">
        <v>32.42</v>
      </c>
      <c r="BZ9" s="170"/>
      <c r="CA9" s="169"/>
      <c r="CB9" s="170">
        <v>35.1</v>
      </c>
      <c r="CC9" s="170">
        <v>23.9</v>
      </c>
      <c r="CD9" s="167">
        <v>9.2</v>
      </c>
      <c r="CE9" s="167">
        <v>21.26</v>
      </c>
      <c r="CF9" s="170"/>
      <c r="CG9" s="167">
        <v>21</v>
      </c>
      <c r="CH9" s="167">
        <v>32.81</v>
      </c>
      <c r="CI9" s="87">
        <v>39</v>
      </c>
      <c r="CJ9" s="167">
        <v>41.1</v>
      </c>
      <c r="CK9" s="169">
        <v>28.84</v>
      </c>
      <c r="CL9" s="169"/>
      <c r="CM9" s="169">
        <v>0.28</v>
      </c>
      <c r="CN9" s="167">
        <v>3.9</v>
      </c>
      <c r="CO9" s="167">
        <v>14.4</v>
      </c>
      <c r="CP9" s="167">
        <v>0</v>
      </c>
      <c r="CQ9" s="171">
        <v>10</v>
      </c>
      <c r="CR9" s="172"/>
      <c r="CS9" s="169">
        <v>0</v>
      </c>
      <c r="CT9" s="167">
        <v>100</v>
      </c>
      <c r="CV9" s="167">
        <f aca="true" t="shared" si="0" ref="CV9:CV14">+(C9+E9+K9+Q9+S9+U9+W9+Z9+AB9+AD9+AE9+AG9+AH9+AI9+AJ9+AL9+AN9+AP9+AR9+AS9+AU9+AW9+AY9+AZ9+BB9+BC9+BE9+BG9+BI9+BK9+BL9+BO9+BP9+BQ9+BR9+BS9+BW9+BX9+BY9+CB9+CC9+CD9+CE9+CG9+CH9+CI9+CJ9+CK9+CM9+CN9+CO9+CP9+CQ9+CS9+CT9)/55</f>
        <v>36.28854545454545</v>
      </c>
      <c r="CW9" s="167"/>
      <c r="CX9" s="167">
        <f aca="true" t="shared" si="1" ref="CX9:CX14">+(E9+AR9+BK9+BO9+BS9+BX9+CB9+CC9+CG9+CH9+CK9+CN9+CO9+CP9+CS9)/15</f>
        <v>28.76866666666666</v>
      </c>
      <c r="CY9" s="167">
        <f aca="true" t="shared" si="2" ref="CY9:CY14">+(C9+K9+Q9+S9+U9+W9+Z9+AB9+AD9+AE9+AG9+AH9+AI9+AJ9+AL9+AN9+AP9+AS9+AU9+AW9+AY9+AZ9+BB9+BC9+BE9+BG9+BI9+BL9+BP9+BQ9+BR9+BW9+BY9+CD9+CE9+CI9+CJ9+CM9+CQ9+CT9)/40</f>
        <v>39.1085</v>
      </c>
      <c r="CZ9" s="167"/>
      <c r="DA9" s="167"/>
      <c r="DB9" s="167"/>
      <c r="DC9" s="167"/>
      <c r="DD9" s="167"/>
      <c r="DE9" s="167"/>
      <c r="DF9" s="167"/>
      <c r="DG9" s="167"/>
      <c r="DH9" s="167"/>
      <c r="DI9" s="167"/>
    </row>
    <row r="10" spans="1:113" ht="12.75">
      <c r="A10" s="47" t="s">
        <v>364</v>
      </c>
      <c r="B10" s="10"/>
      <c r="C10" s="167">
        <v>31.3</v>
      </c>
      <c r="D10" s="168"/>
      <c r="E10" s="167">
        <v>54.4</v>
      </c>
      <c r="F10" s="168">
        <v>58.7</v>
      </c>
      <c r="G10" s="168">
        <v>34.2</v>
      </c>
      <c r="H10" s="168">
        <v>0</v>
      </c>
      <c r="I10" s="168">
        <v>0</v>
      </c>
      <c r="J10" s="168">
        <v>4.5</v>
      </c>
      <c r="K10" s="167">
        <v>36</v>
      </c>
      <c r="L10" s="168"/>
      <c r="M10" s="169"/>
      <c r="N10" s="170"/>
      <c r="O10" s="170"/>
      <c r="P10" s="168"/>
      <c r="Q10" s="167">
        <v>39.9</v>
      </c>
      <c r="R10" s="168">
        <v>0</v>
      </c>
      <c r="S10" s="167">
        <v>48</v>
      </c>
      <c r="T10" s="168"/>
      <c r="U10" s="167">
        <v>70.8</v>
      </c>
      <c r="V10" s="168"/>
      <c r="W10" s="167">
        <v>9.91</v>
      </c>
      <c r="X10" s="168"/>
      <c r="Y10" s="168"/>
      <c r="Z10" s="167">
        <v>36.9</v>
      </c>
      <c r="AA10" s="168"/>
      <c r="AB10" s="167">
        <v>37</v>
      </c>
      <c r="AC10" s="168"/>
      <c r="AD10" s="169">
        <v>13.5</v>
      </c>
      <c r="AE10" s="167">
        <v>41.7</v>
      </c>
      <c r="AF10" s="168"/>
      <c r="AG10" s="167">
        <v>17.9</v>
      </c>
      <c r="AH10" s="167">
        <v>24.48</v>
      </c>
      <c r="AI10" s="167">
        <v>6.93</v>
      </c>
      <c r="AJ10" s="167">
        <v>9.5</v>
      </c>
      <c r="AK10" s="168"/>
      <c r="AL10" s="167">
        <v>45.66</v>
      </c>
      <c r="AM10" s="168"/>
      <c r="AN10" s="167">
        <v>43.3</v>
      </c>
      <c r="AO10" s="168"/>
      <c r="AP10" s="167">
        <v>2.2</v>
      </c>
      <c r="AQ10" s="168"/>
      <c r="AR10" s="167">
        <v>52.6</v>
      </c>
      <c r="AS10" s="167">
        <v>35.33</v>
      </c>
      <c r="AT10" s="168"/>
      <c r="AU10" s="167">
        <v>55.87</v>
      </c>
      <c r="AV10" s="168"/>
      <c r="AW10" s="169">
        <v>9.2</v>
      </c>
      <c r="AX10" s="168"/>
      <c r="AY10" s="167">
        <v>30.8</v>
      </c>
      <c r="AZ10" s="167">
        <v>1.89</v>
      </c>
      <c r="BA10" s="168"/>
      <c r="BB10" s="167">
        <v>13.63</v>
      </c>
      <c r="BC10" s="167">
        <v>24.78</v>
      </c>
      <c r="BD10" s="168"/>
      <c r="BE10" s="167">
        <v>72.1</v>
      </c>
      <c r="BF10" s="168"/>
      <c r="BG10" s="167">
        <v>12.7</v>
      </c>
      <c r="BH10" s="168"/>
      <c r="BI10" s="169">
        <v>49.8</v>
      </c>
      <c r="BJ10" s="168"/>
      <c r="BK10" s="169">
        <v>0.2</v>
      </c>
      <c r="BL10" s="167">
        <v>45.8</v>
      </c>
      <c r="BM10" s="168"/>
      <c r="BN10" s="168"/>
      <c r="BO10" s="167">
        <v>2</v>
      </c>
      <c r="BP10" s="167">
        <v>66.38</v>
      </c>
      <c r="BQ10" s="167">
        <v>5.34</v>
      </c>
      <c r="BR10" s="167">
        <v>7.1</v>
      </c>
      <c r="BS10" s="169">
        <v>9.63</v>
      </c>
      <c r="BT10" s="170"/>
      <c r="BU10" s="170"/>
      <c r="BV10" s="170"/>
      <c r="BW10" s="167">
        <v>32.82</v>
      </c>
      <c r="BX10" s="169">
        <v>9</v>
      </c>
      <c r="BY10" s="167">
        <v>60.94</v>
      </c>
      <c r="BZ10" s="170"/>
      <c r="CA10" s="169"/>
      <c r="CB10" s="170">
        <v>64.9</v>
      </c>
      <c r="CC10" s="170">
        <v>50.9</v>
      </c>
      <c r="CD10" s="167">
        <v>29.4</v>
      </c>
      <c r="CE10" s="167">
        <v>64.94</v>
      </c>
      <c r="CF10" s="170"/>
      <c r="CG10" s="167">
        <v>48</v>
      </c>
      <c r="CH10" s="167">
        <v>24.53</v>
      </c>
      <c r="CI10" s="87">
        <v>19.4</v>
      </c>
      <c r="CJ10" s="167">
        <v>42.9</v>
      </c>
      <c r="CK10" s="169">
        <v>28.07</v>
      </c>
      <c r="CL10" s="169"/>
      <c r="CM10" s="169">
        <v>88.49</v>
      </c>
      <c r="CN10" s="167">
        <v>93.8</v>
      </c>
      <c r="CO10" s="167">
        <v>49.4</v>
      </c>
      <c r="CP10" s="167">
        <v>0</v>
      </c>
      <c r="CQ10" s="171">
        <v>0</v>
      </c>
      <c r="CR10" s="172"/>
      <c r="CS10" s="169">
        <v>18.2</v>
      </c>
      <c r="CT10" s="167">
        <v>0</v>
      </c>
      <c r="CV10" s="167">
        <f t="shared" si="0"/>
        <v>32.54945454545455</v>
      </c>
      <c r="CW10" s="167"/>
      <c r="CX10" s="167">
        <f t="shared" si="1"/>
        <v>33.708666666666666</v>
      </c>
      <c r="CY10" s="167">
        <f t="shared" si="2"/>
        <v>32.11475000000001</v>
      </c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</row>
    <row r="11" spans="1:113" ht="12.75">
      <c r="A11" s="47" t="s">
        <v>365</v>
      </c>
      <c r="B11" s="10"/>
      <c r="C11" s="167">
        <v>0.3</v>
      </c>
      <c r="D11" s="168"/>
      <c r="E11" s="167">
        <v>0.3</v>
      </c>
      <c r="F11" s="168">
        <v>0.3</v>
      </c>
      <c r="G11" s="168">
        <v>0.6</v>
      </c>
      <c r="H11" s="168">
        <v>0</v>
      </c>
      <c r="I11" s="168">
        <v>0</v>
      </c>
      <c r="J11" s="168">
        <v>3</v>
      </c>
      <c r="K11" s="167">
        <v>1.18</v>
      </c>
      <c r="L11" s="168"/>
      <c r="M11" s="169"/>
      <c r="N11" s="170"/>
      <c r="O11" s="170"/>
      <c r="P11" s="168"/>
      <c r="Q11" s="167">
        <v>0.6</v>
      </c>
      <c r="R11" s="168">
        <v>0</v>
      </c>
      <c r="S11" s="167">
        <v>3</v>
      </c>
      <c r="T11" s="168"/>
      <c r="U11" s="167">
        <v>0.4</v>
      </c>
      <c r="V11" s="168"/>
      <c r="W11" s="167">
        <v>0.1</v>
      </c>
      <c r="X11" s="168"/>
      <c r="Y11" s="168"/>
      <c r="Z11" s="167">
        <v>1</v>
      </c>
      <c r="AA11" s="168"/>
      <c r="AB11" s="167">
        <v>10.2</v>
      </c>
      <c r="AC11" s="168"/>
      <c r="AD11" s="169">
        <v>11.05</v>
      </c>
      <c r="AE11" s="167">
        <v>1.1</v>
      </c>
      <c r="AF11" s="168"/>
      <c r="AG11" s="167">
        <v>1.4</v>
      </c>
      <c r="AH11" s="167">
        <v>1.02</v>
      </c>
      <c r="AI11" s="167">
        <v>2.97</v>
      </c>
      <c r="AJ11" s="167">
        <v>0</v>
      </c>
      <c r="AK11" s="168"/>
      <c r="AL11" s="167">
        <v>3.46</v>
      </c>
      <c r="AM11" s="168"/>
      <c r="AN11" s="167">
        <v>2</v>
      </c>
      <c r="AO11" s="168"/>
      <c r="AP11" s="167">
        <v>0</v>
      </c>
      <c r="AQ11" s="168"/>
      <c r="AR11" s="167">
        <v>0</v>
      </c>
      <c r="AS11" s="167">
        <v>1.44</v>
      </c>
      <c r="AT11" s="168"/>
      <c r="AU11" s="167">
        <v>2.03</v>
      </c>
      <c r="AV11" s="168"/>
      <c r="AW11" s="169">
        <v>55.2</v>
      </c>
      <c r="AX11" s="168"/>
      <c r="AY11" s="167">
        <v>1.63</v>
      </c>
      <c r="AZ11" s="167">
        <v>0.13</v>
      </c>
      <c r="BA11" s="168"/>
      <c r="BB11" s="167">
        <v>1.46</v>
      </c>
      <c r="BC11" s="167">
        <v>0.72</v>
      </c>
      <c r="BD11" s="168"/>
      <c r="BE11" s="167">
        <v>1.2</v>
      </c>
      <c r="BF11" s="168"/>
      <c r="BG11" s="167">
        <v>26.2</v>
      </c>
      <c r="BH11" s="168"/>
      <c r="BI11" s="169">
        <v>1.1</v>
      </c>
      <c r="BJ11" s="168"/>
      <c r="BK11" s="169">
        <v>23.6</v>
      </c>
      <c r="BL11" s="167">
        <v>0</v>
      </c>
      <c r="BM11" s="168"/>
      <c r="BN11" s="168"/>
      <c r="BO11" s="167">
        <v>0</v>
      </c>
      <c r="BP11" s="167">
        <v>3.23</v>
      </c>
      <c r="BQ11" s="167">
        <v>0.42</v>
      </c>
      <c r="BR11" s="167">
        <v>0</v>
      </c>
      <c r="BS11" s="169">
        <v>0.61</v>
      </c>
      <c r="BT11" s="170"/>
      <c r="BU11" s="170"/>
      <c r="BV11" s="170"/>
      <c r="BW11" s="167">
        <v>1.53</v>
      </c>
      <c r="BX11" s="169">
        <v>4.5</v>
      </c>
      <c r="BY11" s="167">
        <v>0.84</v>
      </c>
      <c r="BZ11" s="170"/>
      <c r="CA11" s="169"/>
      <c r="CB11" s="170">
        <v>0</v>
      </c>
      <c r="CC11" s="170">
        <v>0</v>
      </c>
      <c r="CD11" s="167">
        <v>42.3</v>
      </c>
      <c r="CE11" s="167">
        <v>3.19</v>
      </c>
      <c r="CF11" s="170"/>
      <c r="CG11" s="167">
        <v>0</v>
      </c>
      <c r="CH11" s="167">
        <v>0</v>
      </c>
      <c r="CI11" s="87">
        <v>0.8</v>
      </c>
      <c r="CJ11" s="167">
        <v>0</v>
      </c>
      <c r="CK11" s="169">
        <v>1.42</v>
      </c>
      <c r="CL11" s="169"/>
      <c r="CM11" s="169">
        <v>0</v>
      </c>
      <c r="CN11" s="167">
        <v>0</v>
      </c>
      <c r="CO11" s="167">
        <v>1.4</v>
      </c>
      <c r="CP11" s="167">
        <v>0</v>
      </c>
      <c r="CQ11" s="171">
        <v>0</v>
      </c>
      <c r="CR11" s="172"/>
      <c r="CS11" s="169">
        <v>0</v>
      </c>
      <c r="CT11" s="167">
        <v>0</v>
      </c>
      <c r="CV11" s="167">
        <f t="shared" si="0"/>
        <v>3.909636363636363</v>
      </c>
      <c r="CW11" s="167"/>
      <c r="CX11" s="167">
        <f t="shared" si="1"/>
        <v>2.122</v>
      </c>
      <c r="CY11" s="167">
        <f t="shared" si="2"/>
        <v>4.58</v>
      </c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</row>
    <row r="12" spans="1:113" ht="12.75">
      <c r="A12" s="47" t="s">
        <v>366</v>
      </c>
      <c r="B12" s="10"/>
      <c r="C12" s="167">
        <v>18.1</v>
      </c>
      <c r="D12" s="168"/>
      <c r="E12" s="167">
        <v>3.3</v>
      </c>
      <c r="F12" s="168">
        <v>3.1</v>
      </c>
      <c r="G12" s="168">
        <v>4.3</v>
      </c>
      <c r="H12" s="168">
        <v>0</v>
      </c>
      <c r="I12" s="168">
        <v>0</v>
      </c>
      <c r="J12" s="168">
        <v>0</v>
      </c>
      <c r="K12" s="167">
        <v>10.95</v>
      </c>
      <c r="L12" s="168"/>
      <c r="M12" s="169"/>
      <c r="N12" s="170"/>
      <c r="O12" s="170"/>
      <c r="P12" s="168"/>
      <c r="Q12" s="167">
        <v>23.1</v>
      </c>
      <c r="R12" s="168">
        <v>0</v>
      </c>
      <c r="S12" s="167">
        <v>7</v>
      </c>
      <c r="T12" s="168"/>
      <c r="U12" s="167">
        <v>3</v>
      </c>
      <c r="V12" s="168"/>
      <c r="W12" s="167">
        <v>12.81</v>
      </c>
      <c r="X12" s="168"/>
      <c r="Y12" s="168"/>
      <c r="Z12" s="167">
        <v>1.2</v>
      </c>
      <c r="AA12" s="168"/>
      <c r="AB12" s="167">
        <v>7.2</v>
      </c>
      <c r="AC12" s="168"/>
      <c r="AD12" s="169">
        <v>21.14</v>
      </c>
      <c r="AE12" s="167">
        <v>11.9</v>
      </c>
      <c r="AF12" s="168"/>
      <c r="AG12" s="167">
        <v>0</v>
      </c>
      <c r="AH12" s="167">
        <v>0</v>
      </c>
      <c r="AI12" s="167">
        <v>15.2</v>
      </c>
      <c r="AJ12" s="167">
        <v>6.63</v>
      </c>
      <c r="AK12" s="168"/>
      <c r="AL12" s="167">
        <v>9.34</v>
      </c>
      <c r="AM12" s="168"/>
      <c r="AN12" s="167">
        <v>1.5</v>
      </c>
      <c r="AO12" s="168"/>
      <c r="AP12" s="167">
        <v>6.8</v>
      </c>
      <c r="AQ12" s="168"/>
      <c r="AR12" s="167">
        <v>8</v>
      </c>
      <c r="AS12" s="167">
        <v>29.37</v>
      </c>
      <c r="AT12" s="168"/>
      <c r="AU12" s="167">
        <v>10.24</v>
      </c>
      <c r="AV12" s="168"/>
      <c r="AW12" s="169">
        <v>0</v>
      </c>
      <c r="AX12" s="168"/>
      <c r="AY12" s="167">
        <v>31.22</v>
      </c>
      <c r="AZ12" s="167">
        <v>8.58</v>
      </c>
      <c r="BA12" s="168"/>
      <c r="BB12" s="167">
        <v>5.11</v>
      </c>
      <c r="BC12" s="167">
        <v>3</v>
      </c>
      <c r="BD12" s="168"/>
      <c r="BE12" s="167">
        <v>0</v>
      </c>
      <c r="BF12" s="168"/>
      <c r="BG12" s="167">
        <v>9.9</v>
      </c>
      <c r="BH12" s="168"/>
      <c r="BI12" s="169">
        <v>0</v>
      </c>
      <c r="BJ12" s="168"/>
      <c r="BK12" s="169">
        <v>7</v>
      </c>
      <c r="BL12" s="167">
        <v>28.6</v>
      </c>
      <c r="BM12" s="168"/>
      <c r="BN12" s="168"/>
      <c r="BO12" s="167">
        <v>6</v>
      </c>
      <c r="BP12" s="167">
        <v>9.72</v>
      </c>
      <c r="BQ12" s="167">
        <v>34.45</v>
      </c>
      <c r="BR12" s="167">
        <v>83.2</v>
      </c>
      <c r="BS12" s="169">
        <v>0</v>
      </c>
      <c r="BT12" s="170"/>
      <c r="BU12" s="170"/>
      <c r="BV12" s="170"/>
      <c r="BW12" s="167">
        <v>12.07</v>
      </c>
      <c r="BX12" s="169">
        <v>13.3</v>
      </c>
      <c r="BY12" s="167">
        <v>5.8</v>
      </c>
      <c r="BZ12" s="170"/>
      <c r="CA12" s="169"/>
      <c r="CB12" s="170">
        <v>0</v>
      </c>
      <c r="CC12" s="170">
        <v>0</v>
      </c>
      <c r="CD12" s="167">
        <v>14.4</v>
      </c>
      <c r="CE12" s="167">
        <v>3.44</v>
      </c>
      <c r="CF12" s="170"/>
      <c r="CG12" s="167">
        <v>18</v>
      </c>
      <c r="CH12" s="167">
        <v>30.84</v>
      </c>
      <c r="CI12" s="87">
        <v>28</v>
      </c>
      <c r="CJ12" s="167">
        <v>16</v>
      </c>
      <c r="CK12" s="169">
        <v>20.95</v>
      </c>
      <c r="CL12" s="169"/>
      <c r="CM12" s="169">
        <v>0</v>
      </c>
      <c r="CN12" s="167">
        <v>0</v>
      </c>
      <c r="CO12" s="167">
        <v>2.5</v>
      </c>
      <c r="CP12" s="167">
        <v>23.2</v>
      </c>
      <c r="CQ12" s="171">
        <v>0</v>
      </c>
      <c r="CR12" s="172"/>
      <c r="CS12" s="169">
        <v>67.3</v>
      </c>
      <c r="CT12" s="167">
        <v>0</v>
      </c>
      <c r="CV12" s="167">
        <f t="shared" si="0"/>
        <v>12.533818181818184</v>
      </c>
      <c r="CW12" s="167"/>
      <c r="CX12" s="167">
        <f t="shared" si="1"/>
        <v>13.359333333333332</v>
      </c>
      <c r="CY12" s="167">
        <f t="shared" si="2"/>
        <v>12.224250000000001</v>
      </c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</row>
    <row r="13" spans="1:113" ht="12.75">
      <c r="A13" s="47" t="s">
        <v>350</v>
      </c>
      <c r="B13" s="10"/>
      <c r="C13" s="167">
        <v>15.8</v>
      </c>
      <c r="D13" s="168"/>
      <c r="E13" s="167">
        <v>20.2</v>
      </c>
      <c r="F13" s="168">
        <v>19.3</v>
      </c>
      <c r="G13" s="168">
        <v>25.6</v>
      </c>
      <c r="H13" s="168">
        <v>100</v>
      </c>
      <c r="I13" s="168">
        <v>0</v>
      </c>
      <c r="J13" s="168">
        <v>0</v>
      </c>
      <c r="K13" s="167">
        <v>15.77</v>
      </c>
      <c r="L13" s="168"/>
      <c r="M13" s="167"/>
      <c r="N13" s="170"/>
      <c r="O13" s="170"/>
      <c r="P13" s="168"/>
      <c r="Q13" s="167">
        <v>7</v>
      </c>
      <c r="R13" s="168">
        <v>0</v>
      </c>
      <c r="S13" s="167">
        <v>3</v>
      </c>
      <c r="T13" s="168"/>
      <c r="U13" s="167">
        <v>2.6</v>
      </c>
      <c r="V13" s="168"/>
      <c r="W13" s="167">
        <v>9.35</v>
      </c>
      <c r="X13" s="168"/>
      <c r="Y13" s="168"/>
      <c r="Z13" s="167">
        <v>26.1</v>
      </c>
      <c r="AA13" s="168"/>
      <c r="AB13" s="167">
        <v>20.2</v>
      </c>
      <c r="AC13" s="168"/>
      <c r="AD13" s="169">
        <v>7.82</v>
      </c>
      <c r="AE13" s="167">
        <v>3.2</v>
      </c>
      <c r="AF13" s="168"/>
      <c r="AG13" s="167">
        <v>16.1</v>
      </c>
      <c r="AH13" s="167">
        <v>4.31</v>
      </c>
      <c r="AI13" s="167">
        <v>5.67</v>
      </c>
      <c r="AJ13" s="167">
        <v>26.93</v>
      </c>
      <c r="AK13" s="168"/>
      <c r="AL13" s="167">
        <v>0.02</v>
      </c>
      <c r="AM13" s="168"/>
      <c r="AN13" s="167">
        <v>3.5</v>
      </c>
      <c r="AO13" s="168"/>
      <c r="AP13" s="167">
        <v>0</v>
      </c>
      <c r="AQ13" s="168"/>
      <c r="AR13" s="167">
        <v>14.1</v>
      </c>
      <c r="AS13" s="167">
        <v>0.58</v>
      </c>
      <c r="AT13" s="168"/>
      <c r="AU13" s="167">
        <v>17.25</v>
      </c>
      <c r="AV13" s="168"/>
      <c r="AW13" s="169">
        <v>0.7</v>
      </c>
      <c r="AX13" s="168"/>
      <c r="AY13" s="167">
        <v>7.55</v>
      </c>
      <c r="AZ13" s="167">
        <v>10.79</v>
      </c>
      <c r="BA13" s="168"/>
      <c r="BB13" s="167">
        <v>3.08</v>
      </c>
      <c r="BC13" s="167">
        <v>0</v>
      </c>
      <c r="BD13" s="168"/>
      <c r="BE13" s="167">
        <v>10</v>
      </c>
      <c r="BF13" s="168"/>
      <c r="BG13" s="167">
        <v>26</v>
      </c>
      <c r="BH13" s="168"/>
      <c r="BI13" s="169">
        <v>35.4</v>
      </c>
      <c r="BJ13" s="168"/>
      <c r="BK13" s="169">
        <v>54.5</v>
      </c>
      <c r="BL13" s="167">
        <v>5.1</v>
      </c>
      <c r="BM13" s="168"/>
      <c r="BN13" s="168"/>
      <c r="BO13" s="167">
        <v>0</v>
      </c>
      <c r="BP13" s="167">
        <v>4.51</v>
      </c>
      <c r="BQ13" s="167">
        <v>2.67</v>
      </c>
      <c r="BR13" s="167">
        <v>0.3</v>
      </c>
      <c r="BS13" s="167">
        <v>17.49</v>
      </c>
      <c r="BT13" s="170"/>
      <c r="BU13" s="170"/>
      <c r="BV13" s="170"/>
      <c r="BW13" s="167">
        <v>5.79</v>
      </c>
      <c r="BX13" s="169">
        <v>28.3</v>
      </c>
      <c r="BY13" s="167">
        <v>0</v>
      </c>
      <c r="BZ13" s="170"/>
      <c r="CA13" s="169"/>
      <c r="CB13" s="170">
        <v>0</v>
      </c>
      <c r="CC13" s="170">
        <v>23.8</v>
      </c>
      <c r="CD13" s="167">
        <v>4.7</v>
      </c>
      <c r="CE13" s="167">
        <v>7.17</v>
      </c>
      <c r="CF13" s="170"/>
      <c r="CG13" s="167">
        <v>13</v>
      </c>
      <c r="CH13" s="167">
        <v>11.82</v>
      </c>
      <c r="CI13" s="87">
        <v>10.7</v>
      </c>
      <c r="CJ13" s="167">
        <v>0</v>
      </c>
      <c r="CK13" s="169">
        <v>20.72</v>
      </c>
      <c r="CL13" s="169"/>
      <c r="CM13" s="167">
        <v>7.42</v>
      </c>
      <c r="CN13" s="167">
        <v>2.3</v>
      </c>
      <c r="CO13" s="167">
        <v>3.3</v>
      </c>
      <c r="CP13" s="167">
        <v>76.8</v>
      </c>
      <c r="CQ13" s="171">
        <v>79</v>
      </c>
      <c r="CR13" s="172"/>
      <c r="CS13" s="169">
        <v>14.5</v>
      </c>
      <c r="CT13" s="167">
        <v>0</v>
      </c>
      <c r="CV13" s="167">
        <f t="shared" si="0"/>
        <v>12.852909090909089</v>
      </c>
      <c r="CW13" s="167"/>
      <c r="CX13" s="167">
        <f t="shared" si="1"/>
        <v>20.055333333333337</v>
      </c>
      <c r="CY13" s="167">
        <f t="shared" si="2"/>
        <v>10.152000000000003</v>
      </c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</row>
    <row r="14" spans="1:113" ht="12.75">
      <c r="A14" s="47" t="s">
        <v>351</v>
      </c>
      <c r="B14" s="10"/>
      <c r="C14" s="167">
        <v>0</v>
      </c>
      <c r="D14" s="168"/>
      <c r="E14" s="167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7">
        <v>0.54</v>
      </c>
      <c r="L14" s="168"/>
      <c r="M14" s="167"/>
      <c r="N14" s="168"/>
      <c r="O14" s="168"/>
      <c r="P14" s="168"/>
      <c r="Q14" s="167">
        <v>0</v>
      </c>
      <c r="R14" s="168">
        <v>0</v>
      </c>
      <c r="S14" s="167">
        <v>4</v>
      </c>
      <c r="T14" s="168"/>
      <c r="U14" s="167">
        <v>0</v>
      </c>
      <c r="V14" s="168"/>
      <c r="W14" s="167">
        <v>0</v>
      </c>
      <c r="X14" s="168"/>
      <c r="Y14" s="168"/>
      <c r="Z14" s="167">
        <v>0.3</v>
      </c>
      <c r="AA14" s="168"/>
      <c r="AB14" s="167">
        <v>1.4</v>
      </c>
      <c r="AC14" s="168"/>
      <c r="AD14" s="169"/>
      <c r="AE14" s="167">
        <v>0</v>
      </c>
      <c r="AF14" s="168"/>
      <c r="AG14" s="167">
        <v>0.1</v>
      </c>
      <c r="AH14" s="167">
        <v>15.89</v>
      </c>
      <c r="AI14" s="167">
        <f>0.25+2.15+0.08</f>
        <v>2.48</v>
      </c>
      <c r="AJ14" s="167">
        <v>15.01</v>
      </c>
      <c r="AK14" s="168"/>
      <c r="AL14" s="167">
        <f>7.8+0.06</f>
        <v>7.859999999999999</v>
      </c>
      <c r="AM14" s="168"/>
      <c r="AN14" s="167">
        <v>0</v>
      </c>
      <c r="AO14" s="168"/>
      <c r="AP14" s="167">
        <v>0</v>
      </c>
      <c r="AQ14" s="168"/>
      <c r="AR14" s="167">
        <v>0</v>
      </c>
      <c r="AS14" s="167">
        <v>0.26</v>
      </c>
      <c r="AT14" s="168"/>
      <c r="AU14" s="167">
        <v>0</v>
      </c>
      <c r="AV14" s="168"/>
      <c r="AW14" s="167">
        <v>0</v>
      </c>
      <c r="AX14" s="168"/>
      <c r="AY14" s="167">
        <v>0</v>
      </c>
      <c r="AZ14" s="167">
        <v>0</v>
      </c>
      <c r="BA14" s="168"/>
      <c r="BB14" s="167">
        <v>6.89</v>
      </c>
      <c r="BC14" s="167">
        <v>0</v>
      </c>
      <c r="BD14" s="168"/>
      <c r="BE14" s="167">
        <v>0.5</v>
      </c>
      <c r="BF14" s="168"/>
      <c r="BG14" s="167">
        <v>0.1</v>
      </c>
      <c r="BH14" s="168"/>
      <c r="BI14" s="169">
        <v>0</v>
      </c>
      <c r="BJ14" s="168"/>
      <c r="BK14" s="167">
        <v>0</v>
      </c>
      <c r="BL14" s="167">
        <v>0</v>
      </c>
      <c r="BM14" s="168"/>
      <c r="BN14" s="168"/>
      <c r="BO14" s="167">
        <v>0</v>
      </c>
      <c r="BP14" s="167">
        <v>0</v>
      </c>
      <c r="BQ14" s="167">
        <v>0.54</v>
      </c>
      <c r="BR14" s="167">
        <v>0</v>
      </c>
      <c r="BS14" s="167">
        <v>0</v>
      </c>
      <c r="BT14" s="168"/>
      <c r="BU14" s="168"/>
      <c r="BV14" s="170"/>
      <c r="BW14" s="167">
        <v>0</v>
      </c>
      <c r="BX14" s="167">
        <v>0</v>
      </c>
      <c r="BY14" s="167">
        <v>0</v>
      </c>
      <c r="BZ14" s="170"/>
      <c r="CA14" s="169"/>
      <c r="CB14" s="170">
        <v>0</v>
      </c>
      <c r="CC14" s="170">
        <v>1.4</v>
      </c>
      <c r="CD14" s="167">
        <v>0</v>
      </c>
      <c r="CE14" s="167">
        <v>0</v>
      </c>
      <c r="CF14" s="170"/>
      <c r="CG14" s="167">
        <v>0</v>
      </c>
      <c r="CH14" s="167">
        <v>0</v>
      </c>
      <c r="CI14" s="87">
        <v>2.1</v>
      </c>
      <c r="CJ14" s="167">
        <v>0</v>
      </c>
      <c r="CK14" s="169">
        <v>0</v>
      </c>
      <c r="CL14" s="169"/>
      <c r="CM14" s="167">
        <v>3.82</v>
      </c>
      <c r="CN14" s="167">
        <v>0</v>
      </c>
      <c r="CO14" s="167">
        <v>29.1</v>
      </c>
      <c r="CP14" s="167">
        <v>0</v>
      </c>
      <c r="CQ14" s="171">
        <v>11</v>
      </c>
      <c r="CR14" s="172"/>
      <c r="CS14" s="167">
        <v>0</v>
      </c>
      <c r="CT14" s="167">
        <v>0</v>
      </c>
      <c r="CV14" s="167">
        <f t="shared" si="0"/>
        <v>1.878</v>
      </c>
      <c r="CW14" s="167"/>
      <c r="CX14" s="167">
        <f t="shared" si="1"/>
        <v>2.033333333333333</v>
      </c>
      <c r="CY14" s="167">
        <f t="shared" si="2"/>
        <v>1.8197499999999998</v>
      </c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</row>
    <row r="15" spans="1:105" ht="12.75">
      <c r="A15" s="6" t="s">
        <v>343</v>
      </c>
      <c r="B15" s="10">
        <v>3</v>
      </c>
      <c r="C15" s="9">
        <f aca="true" t="shared" si="3" ref="C15:M15">C9+C10+C11+C12+C13+C14</f>
        <v>99.99999999999999</v>
      </c>
      <c r="D15" s="52"/>
      <c r="E15" s="9">
        <f t="shared" si="3"/>
        <v>100</v>
      </c>
      <c r="F15" s="52">
        <f t="shared" si="3"/>
        <v>100</v>
      </c>
      <c r="G15" s="52">
        <f t="shared" si="3"/>
        <v>99.9</v>
      </c>
      <c r="H15" s="52">
        <f t="shared" si="3"/>
        <v>100</v>
      </c>
      <c r="I15" s="52">
        <f t="shared" si="3"/>
        <v>0</v>
      </c>
      <c r="J15" s="52">
        <f t="shared" si="3"/>
        <v>99.5</v>
      </c>
      <c r="K15" s="9">
        <f t="shared" si="3"/>
        <v>100.49000000000001</v>
      </c>
      <c r="L15" s="52"/>
      <c r="M15" s="9">
        <f t="shared" si="3"/>
        <v>0</v>
      </c>
      <c r="N15" s="52"/>
      <c r="O15" s="52"/>
      <c r="P15" s="52"/>
      <c r="Q15" s="9">
        <f>Q9+Q10+Q11+Q12+Q13+Q14</f>
        <v>100</v>
      </c>
      <c r="R15" s="52">
        <f>R9+R10+R11+R12+R13+R14</f>
        <v>100</v>
      </c>
      <c r="S15" s="9">
        <f>S9+S10+S11+S12+S13+S14</f>
        <v>100</v>
      </c>
      <c r="T15" s="52"/>
      <c r="U15" s="9">
        <f>U9+U10+U11+U12+U13+U14</f>
        <v>100</v>
      </c>
      <c r="V15" s="52"/>
      <c r="W15" s="9">
        <f>W9+W10+W11+W12+W13+W14</f>
        <v>99.99999999999999</v>
      </c>
      <c r="X15" s="52"/>
      <c r="Y15" s="52"/>
      <c r="Z15" s="9">
        <f aca="true" t="shared" si="4" ref="Z15:BY15">Z9+Z10+Z11+Z12+Z13+Z14</f>
        <v>100.00000000000001</v>
      </c>
      <c r="AA15" s="52"/>
      <c r="AB15" s="9">
        <f t="shared" si="4"/>
        <v>100.00000000000001</v>
      </c>
      <c r="AC15" s="52"/>
      <c r="AD15" s="30">
        <f t="shared" si="4"/>
        <v>100</v>
      </c>
      <c r="AE15" s="9">
        <f t="shared" si="4"/>
        <v>100.00000000000001</v>
      </c>
      <c r="AF15" s="52"/>
      <c r="AG15" s="9">
        <f t="shared" si="4"/>
        <v>100</v>
      </c>
      <c r="AH15" s="9">
        <f t="shared" si="4"/>
        <v>99.99</v>
      </c>
      <c r="AI15" s="9">
        <f t="shared" si="4"/>
        <v>100.00000000000001</v>
      </c>
      <c r="AJ15" s="9">
        <f t="shared" si="4"/>
        <v>100.00000000000001</v>
      </c>
      <c r="AK15" s="52"/>
      <c r="AL15" s="9">
        <f t="shared" si="4"/>
        <v>99.99999999999999</v>
      </c>
      <c r="AM15" s="52"/>
      <c r="AN15" s="9">
        <f t="shared" si="4"/>
        <v>99.5</v>
      </c>
      <c r="AO15" s="52"/>
      <c r="AP15" s="9">
        <f t="shared" si="4"/>
        <v>100</v>
      </c>
      <c r="AQ15" s="52"/>
      <c r="AR15" s="9">
        <f t="shared" si="4"/>
        <v>100</v>
      </c>
      <c r="AS15" s="9">
        <f t="shared" si="4"/>
        <v>100.01</v>
      </c>
      <c r="AT15" s="52"/>
      <c r="AU15" s="9">
        <f t="shared" si="4"/>
        <v>99.99999999999999</v>
      </c>
      <c r="AV15" s="52"/>
      <c r="AW15" s="9">
        <f t="shared" si="4"/>
        <v>100</v>
      </c>
      <c r="AX15" s="52"/>
      <c r="AY15" s="9">
        <f t="shared" si="4"/>
        <v>100</v>
      </c>
      <c r="AZ15" s="9">
        <f t="shared" si="4"/>
        <v>100</v>
      </c>
      <c r="BA15" s="52"/>
      <c r="BB15" s="9">
        <f t="shared" si="4"/>
        <v>99.99999999999999</v>
      </c>
      <c r="BC15" s="9">
        <f t="shared" si="4"/>
        <v>100</v>
      </c>
      <c r="BD15" s="52"/>
      <c r="BE15" s="9">
        <f t="shared" si="4"/>
        <v>99.89999999999999</v>
      </c>
      <c r="BF15" s="52"/>
      <c r="BG15" s="9">
        <f t="shared" si="4"/>
        <v>100</v>
      </c>
      <c r="BH15" s="52"/>
      <c r="BI15" s="30">
        <f t="shared" si="4"/>
        <v>100</v>
      </c>
      <c r="BJ15" s="52"/>
      <c r="BK15" s="9">
        <f t="shared" si="4"/>
        <v>100</v>
      </c>
      <c r="BL15" s="9">
        <f t="shared" si="4"/>
        <v>100</v>
      </c>
      <c r="BM15" s="52"/>
      <c r="BN15" s="52"/>
      <c r="BO15" s="9">
        <f t="shared" si="4"/>
        <v>100</v>
      </c>
      <c r="BP15" s="9">
        <f t="shared" si="4"/>
        <v>100</v>
      </c>
      <c r="BQ15" s="9">
        <f t="shared" si="4"/>
        <v>100.07000000000001</v>
      </c>
      <c r="BR15" s="9">
        <f t="shared" si="4"/>
        <v>100</v>
      </c>
      <c r="BS15" s="9">
        <f t="shared" si="4"/>
        <v>100.60999999999999</v>
      </c>
      <c r="BT15" s="52">
        <f t="shared" si="4"/>
        <v>0</v>
      </c>
      <c r="BU15" s="52">
        <f t="shared" si="4"/>
        <v>0</v>
      </c>
      <c r="BV15" s="52"/>
      <c r="BW15" s="9">
        <f t="shared" si="4"/>
        <v>100.00000000000001</v>
      </c>
      <c r="BX15" s="9">
        <f t="shared" si="4"/>
        <v>100</v>
      </c>
      <c r="BY15" s="9">
        <f t="shared" si="4"/>
        <v>100</v>
      </c>
      <c r="BZ15" s="52"/>
      <c r="CA15" s="30"/>
      <c r="CB15" s="52">
        <f aca="true" t="shared" si="5" ref="CB15:CT15">CB9+CB10+CB11+CB12+CB13+CB14</f>
        <v>100</v>
      </c>
      <c r="CC15" s="52">
        <f t="shared" si="5"/>
        <v>100</v>
      </c>
      <c r="CD15" s="9">
        <f t="shared" si="5"/>
        <v>100</v>
      </c>
      <c r="CE15" s="9">
        <f t="shared" si="5"/>
        <v>100</v>
      </c>
      <c r="CF15" s="52"/>
      <c r="CG15" s="9">
        <f t="shared" si="5"/>
        <v>100</v>
      </c>
      <c r="CH15" s="9">
        <f t="shared" si="5"/>
        <v>100</v>
      </c>
      <c r="CI15" s="9">
        <f t="shared" si="5"/>
        <v>99.99999999999999</v>
      </c>
      <c r="CJ15" s="9">
        <f t="shared" si="5"/>
        <v>100</v>
      </c>
      <c r="CK15" s="9">
        <f t="shared" si="5"/>
        <v>100</v>
      </c>
      <c r="CL15" s="9">
        <f t="shared" si="5"/>
        <v>0</v>
      </c>
      <c r="CM15" s="9">
        <f t="shared" si="5"/>
        <v>100.00999999999999</v>
      </c>
      <c r="CN15" s="9">
        <f t="shared" si="5"/>
        <v>100</v>
      </c>
      <c r="CO15" s="9">
        <f t="shared" si="5"/>
        <v>100.1</v>
      </c>
      <c r="CP15" s="9">
        <f t="shared" si="5"/>
        <v>100</v>
      </c>
      <c r="CQ15" s="173">
        <f t="shared" si="5"/>
        <v>100</v>
      </c>
      <c r="CR15" s="174"/>
      <c r="CS15" s="9">
        <f>CS9+CS10+CS11+CS12+CS13+CS14</f>
        <v>100</v>
      </c>
      <c r="CT15" s="9">
        <f t="shared" si="5"/>
        <v>100</v>
      </c>
      <c r="CV15" s="83">
        <f>SUM(CV9:CV14)</f>
        <v>100.01236363636365</v>
      </c>
      <c r="CW15" s="83"/>
      <c r="CX15" s="83">
        <f>SUM(CX9:CX14)</f>
        <v>100.04733333333333</v>
      </c>
      <c r="CY15" s="83">
        <f>SUM(CY9:CY14)</f>
        <v>99.99925</v>
      </c>
      <c r="CZ15" s="167"/>
      <c r="DA15" s="175"/>
    </row>
    <row r="16" spans="1:110" ht="18" customHeight="1">
      <c r="A16" s="166" t="s">
        <v>352</v>
      </c>
      <c r="B16" s="10"/>
      <c r="C16" s="167">
        <v>77.3</v>
      </c>
      <c r="D16" s="168"/>
      <c r="E16" s="167">
        <v>81.8</v>
      </c>
      <c r="F16" s="168">
        <v>83.9</v>
      </c>
      <c r="G16" s="168">
        <v>71.4</v>
      </c>
      <c r="H16" s="168">
        <v>100</v>
      </c>
      <c r="I16" s="168">
        <v>0</v>
      </c>
      <c r="J16" s="168">
        <v>64.3</v>
      </c>
      <c r="K16" s="167">
        <v>76.35</v>
      </c>
      <c r="L16" s="168"/>
      <c r="M16" s="167">
        <v>61.3</v>
      </c>
      <c r="N16" s="168"/>
      <c r="O16" s="168"/>
      <c r="P16" s="168"/>
      <c r="Q16" s="167">
        <v>79</v>
      </c>
      <c r="R16" s="168">
        <v>100</v>
      </c>
      <c r="S16" s="167">
        <v>70</v>
      </c>
      <c r="T16" s="168"/>
      <c r="U16" s="167">
        <v>85.98</v>
      </c>
      <c r="V16" s="168"/>
      <c r="W16" s="167">
        <v>81.89</v>
      </c>
      <c r="X16" s="168"/>
      <c r="Y16" s="168"/>
      <c r="Z16" s="167">
        <v>77</v>
      </c>
      <c r="AA16" s="168"/>
      <c r="AB16" s="167">
        <v>89.3</v>
      </c>
      <c r="AC16" s="168"/>
      <c r="AD16" s="169">
        <v>74.94</v>
      </c>
      <c r="AE16" s="167">
        <v>70</v>
      </c>
      <c r="AF16" s="168"/>
      <c r="AG16" s="167">
        <v>72.43</v>
      </c>
      <c r="AH16" s="167">
        <v>75.61</v>
      </c>
      <c r="AI16" s="167">
        <v>66.69</v>
      </c>
      <c r="AJ16" s="167">
        <v>60.33</v>
      </c>
      <c r="AK16" s="168"/>
      <c r="AL16" s="167">
        <v>75.92</v>
      </c>
      <c r="AM16" s="168"/>
      <c r="AN16" s="167">
        <v>67.1</v>
      </c>
      <c r="AO16" s="168"/>
      <c r="AP16" s="167">
        <v>68.9</v>
      </c>
      <c r="AQ16" s="168"/>
      <c r="AR16" s="167">
        <v>79</v>
      </c>
      <c r="AS16" s="167">
        <v>86.81</v>
      </c>
      <c r="AT16" s="168"/>
      <c r="AU16" s="167">
        <v>91.28</v>
      </c>
      <c r="AV16" s="168"/>
      <c r="AW16" s="167">
        <v>71.3</v>
      </c>
      <c r="AX16" s="168"/>
      <c r="AY16" s="167">
        <v>94.79</v>
      </c>
      <c r="AZ16" s="167">
        <v>68.7</v>
      </c>
      <c r="BA16" s="168"/>
      <c r="BB16" s="167">
        <v>55.17</v>
      </c>
      <c r="BC16" s="167">
        <v>81.23</v>
      </c>
      <c r="BD16" s="168"/>
      <c r="BE16" s="167">
        <v>92.1</v>
      </c>
      <c r="BF16" s="168"/>
      <c r="BG16" s="167">
        <v>68</v>
      </c>
      <c r="BH16" s="168"/>
      <c r="BI16" s="169">
        <v>93.4</v>
      </c>
      <c r="BJ16" s="168"/>
      <c r="BK16" s="167">
        <v>92.5</v>
      </c>
      <c r="BL16" s="167">
        <v>93.3</v>
      </c>
      <c r="BM16" s="168"/>
      <c r="BN16" s="168"/>
      <c r="BO16" s="167">
        <v>74</v>
      </c>
      <c r="BP16" s="167">
        <v>86.84</v>
      </c>
      <c r="BQ16" s="167">
        <v>78.34</v>
      </c>
      <c r="BR16" s="167">
        <v>95.3</v>
      </c>
      <c r="BS16" s="167">
        <v>80.26</v>
      </c>
      <c r="BT16" s="168">
        <v>80.59</v>
      </c>
      <c r="BU16" s="168">
        <v>77.48</v>
      </c>
      <c r="BV16" s="168"/>
      <c r="BW16" s="167">
        <v>80.95</v>
      </c>
      <c r="BX16" s="167">
        <v>71.6</v>
      </c>
      <c r="BY16" s="167">
        <v>77.79</v>
      </c>
      <c r="BZ16" s="168"/>
      <c r="CA16" s="169"/>
      <c r="CB16" s="170">
        <v>82.4</v>
      </c>
      <c r="CC16" s="168">
        <v>72.5</v>
      </c>
      <c r="CD16" s="167">
        <v>83.6</v>
      </c>
      <c r="CE16" s="167">
        <v>86.16</v>
      </c>
      <c r="CF16" s="170"/>
      <c r="CG16" s="167">
        <v>81</v>
      </c>
      <c r="CH16" s="169">
        <v>94.99</v>
      </c>
      <c r="CI16" s="167">
        <v>78.4</v>
      </c>
      <c r="CJ16" s="167">
        <v>97.3</v>
      </c>
      <c r="CK16" s="167">
        <v>88.49</v>
      </c>
      <c r="CL16" s="167">
        <v>95.6</v>
      </c>
      <c r="CM16" s="169">
        <v>100</v>
      </c>
      <c r="CN16" s="167">
        <v>98.47</v>
      </c>
      <c r="CO16" s="167">
        <v>91.8</v>
      </c>
      <c r="CP16" s="167">
        <v>100</v>
      </c>
      <c r="CQ16" s="171">
        <v>100</v>
      </c>
      <c r="CR16" s="172"/>
      <c r="CS16" s="167">
        <v>97.4</v>
      </c>
      <c r="CT16" s="167">
        <v>100</v>
      </c>
      <c r="CV16" s="167">
        <f>+(C16+E16+K16+M16+Q16+S16+U16+W16+Z16+AB16+AD16+AE16+AG16+AH16+AI16+AJ16+AL16+AN16+AP16+AR16+AS16+AU16+AW16+AY16+AZ16+BB16+BC16+BE16+BG16+BI16+BK16+BL16+BO16+BP16+BQ16+BR16+BS16+BW16+BX16+BY16+CB16+CC16+CD16+CE16+CG16+CH16+CI16+CJ16+CK16+CL16+CM16+CN16+CO16+CP16+CQ16+CS16+CT16)/57</f>
        <v>81.97561403508772</v>
      </c>
      <c r="CW16" s="167"/>
      <c r="CX16" s="167">
        <f>+(E16+AR16+BK16+BO16+BS16+BX16+CB16+CC16+CG16+CH16+CK16+CN16+CO16+CP16+CS16)/15</f>
        <v>85.74733333333333</v>
      </c>
      <c r="CY16" s="167">
        <f>+(C16+K16+M16+Q16+S16+U16+W16+Z16+AB16+AD16+AE16+AG16+AH16+AI16+AJ16+AL16+AN16+AP16+AS16+AU16+AW16+AY16+AZ16+BB16+BC16+BE16+BG16+BI16+BL16+BP16+BQ16+BR16+BW16+BY16+CD16+CE16+CI16+CJ16+CL16+CM16+CQ16+CT16)/42</f>
        <v>80.62857142857143</v>
      </c>
      <c r="CZ16" s="167"/>
      <c r="DA16" s="167"/>
      <c r="DB16" s="167"/>
      <c r="DC16" s="167"/>
      <c r="DD16" s="167"/>
      <c r="DE16" s="167"/>
      <c r="DF16" s="167"/>
    </row>
    <row r="17" spans="1:110" ht="12.75">
      <c r="A17" s="47" t="s">
        <v>355</v>
      </c>
      <c r="B17" s="10"/>
      <c r="C17" s="167">
        <v>22.7</v>
      </c>
      <c r="D17" s="168"/>
      <c r="E17" s="167">
        <v>18.2</v>
      </c>
      <c r="F17" s="168">
        <v>16.1</v>
      </c>
      <c r="G17" s="168">
        <v>28.6</v>
      </c>
      <c r="H17" s="168"/>
      <c r="I17" s="168">
        <v>0</v>
      </c>
      <c r="J17" s="168">
        <v>35.7</v>
      </c>
      <c r="K17" s="167">
        <v>23.65</v>
      </c>
      <c r="L17" s="168"/>
      <c r="M17" s="167">
        <v>38.7</v>
      </c>
      <c r="N17" s="168"/>
      <c r="O17" s="168"/>
      <c r="P17" s="168"/>
      <c r="Q17" s="167">
        <v>21</v>
      </c>
      <c r="R17" s="168">
        <v>0</v>
      </c>
      <c r="S17" s="167">
        <v>30</v>
      </c>
      <c r="T17" s="168"/>
      <c r="U17" s="167">
        <v>14.02</v>
      </c>
      <c r="V17" s="168"/>
      <c r="W17" s="167">
        <v>18.11</v>
      </c>
      <c r="X17" s="168"/>
      <c r="Y17" s="168"/>
      <c r="Z17" s="167">
        <v>23</v>
      </c>
      <c r="AA17" s="168"/>
      <c r="AB17" s="167">
        <v>10.7</v>
      </c>
      <c r="AC17" s="168"/>
      <c r="AD17" s="169">
        <v>25.06</v>
      </c>
      <c r="AE17" s="167">
        <v>30</v>
      </c>
      <c r="AF17" s="168"/>
      <c r="AG17" s="167">
        <v>27.57</v>
      </c>
      <c r="AH17" s="167">
        <v>24.39</v>
      </c>
      <c r="AI17" s="167">
        <v>33.31</v>
      </c>
      <c r="AJ17" s="167">
        <v>39.67</v>
      </c>
      <c r="AK17" s="168"/>
      <c r="AL17" s="167">
        <v>24.08</v>
      </c>
      <c r="AM17" s="168"/>
      <c r="AN17" s="167">
        <v>32.9</v>
      </c>
      <c r="AO17" s="168"/>
      <c r="AP17" s="167">
        <v>31.1</v>
      </c>
      <c r="AQ17" s="168"/>
      <c r="AR17" s="167">
        <v>21</v>
      </c>
      <c r="AS17" s="167">
        <v>13.19</v>
      </c>
      <c r="AT17" s="168"/>
      <c r="AU17" s="167">
        <v>8.72</v>
      </c>
      <c r="AV17" s="168"/>
      <c r="AW17" s="167">
        <v>28.7</v>
      </c>
      <c r="AX17" s="168"/>
      <c r="AY17" s="167">
        <v>5.21</v>
      </c>
      <c r="AZ17" s="167">
        <v>31.3</v>
      </c>
      <c r="BA17" s="168"/>
      <c r="BB17" s="167">
        <v>44.83</v>
      </c>
      <c r="BC17" s="167">
        <v>18.77</v>
      </c>
      <c r="BD17" s="168"/>
      <c r="BE17" s="167">
        <v>7.9</v>
      </c>
      <c r="BF17" s="168"/>
      <c r="BG17" s="167">
        <v>32</v>
      </c>
      <c r="BH17" s="168"/>
      <c r="BI17" s="169">
        <v>6.6</v>
      </c>
      <c r="BJ17" s="168"/>
      <c r="BK17" s="167">
        <v>7.5</v>
      </c>
      <c r="BL17" s="167">
        <v>6.7</v>
      </c>
      <c r="BM17" s="168"/>
      <c r="BN17" s="168"/>
      <c r="BO17" s="167">
        <v>26</v>
      </c>
      <c r="BP17" s="167">
        <v>13.16</v>
      </c>
      <c r="BQ17" s="167">
        <v>21.66</v>
      </c>
      <c r="BR17" s="167">
        <v>4.7</v>
      </c>
      <c r="BS17" s="167">
        <v>19.74</v>
      </c>
      <c r="BT17" s="170">
        <v>19.41</v>
      </c>
      <c r="BU17" s="170">
        <v>22.52</v>
      </c>
      <c r="BV17" s="170"/>
      <c r="BW17" s="167">
        <v>19.05</v>
      </c>
      <c r="BX17" s="167">
        <v>28.4</v>
      </c>
      <c r="BY17" s="167">
        <v>22.21</v>
      </c>
      <c r="BZ17" s="170"/>
      <c r="CA17" s="169"/>
      <c r="CB17" s="170">
        <v>17.6</v>
      </c>
      <c r="CC17" s="170">
        <v>27.5</v>
      </c>
      <c r="CD17" s="167">
        <v>16.4</v>
      </c>
      <c r="CE17" s="167">
        <v>13.84</v>
      </c>
      <c r="CF17" s="170"/>
      <c r="CG17" s="167">
        <v>19</v>
      </c>
      <c r="CH17" s="169">
        <v>5</v>
      </c>
      <c r="CI17" s="167">
        <v>21.6</v>
      </c>
      <c r="CJ17" s="167">
        <v>2.7</v>
      </c>
      <c r="CK17" s="167">
        <v>11.51</v>
      </c>
      <c r="CL17" s="167">
        <v>4.4</v>
      </c>
      <c r="CM17" s="169">
        <v>0</v>
      </c>
      <c r="CN17" s="167">
        <v>1.53</v>
      </c>
      <c r="CO17" s="167">
        <v>8.2</v>
      </c>
      <c r="CP17" s="167">
        <v>0</v>
      </c>
      <c r="CQ17" s="171">
        <v>0</v>
      </c>
      <c r="CR17" s="172"/>
      <c r="CS17" s="167">
        <v>2.6</v>
      </c>
      <c r="CT17" s="167">
        <v>0</v>
      </c>
      <c r="CV17" s="167">
        <f>+(C17+E17+K17+M17+Q17+S17+U17+W17+Z17+AB17+AD17+AE17+AG17+AH17+AI17+AJ17+AL17+AN17+AP17+AR17+AS17+AU17+AW17+AY17+AZ17+BB17+BC17+BE17+BG17+BI17+BK17+BL17+BO17+BP17+BQ17+BR17+BS17+BW17+BX17+BY17+CB17+CC17+CD17+CE17+CG17+CH17+CI17+CJ17+CK17+CL17+CM17+CN17+CO17+CP17+CQ17+CS17+CT17)/57</f>
        <v>18.02421052631579</v>
      </c>
      <c r="CW17" s="167"/>
      <c r="CX17" s="167">
        <f>+(E17+AR17+BK17+BO17+BS17+BX17+CB17+CC17+CG17+CH17+CK17+CN17+CO17+CP17+CS17)/15</f>
        <v>14.251999999999999</v>
      </c>
      <c r="CY17" s="167">
        <f>+(C17+K17+M17+Q17+S17+U17+W17+Z17+AB17+AD17+AE17+AG17+AH17+AI17+AJ17+AL17+AN17+AP17+AS17+AU17+AW17+AY17+AZ17+BB17+BC17+BE17+BG17+BI17+BL17+BP17+BQ17+BR17+BW17+BY17+CD17+CE17+CI17+CJ17+CL17+CM17+CQ17+CT17)/42</f>
        <v>19.371428571428574</v>
      </c>
      <c r="CZ17" s="167"/>
      <c r="DA17" s="167"/>
      <c r="DB17" s="167"/>
      <c r="DC17" s="167"/>
      <c r="DD17" s="167"/>
      <c r="DE17" s="167"/>
      <c r="DF17" s="167"/>
    </row>
    <row r="18" spans="1:105" ht="12.75">
      <c r="A18" s="6" t="s">
        <v>343</v>
      </c>
      <c r="B18" s="10">
        <v>4</v>
      </c>
      <c r="C18" s="9">
        <f aca="true" t="shared" si="6" ref="C18:J18">C16+C17</f>
        <v>100</v>
      </c>
      <c r="D18" s="52"/>
      <c r="E18" s="9">
        <f t="shared" si="6"/>
        <v>100</v>
      </c>
      <c r="F18" s="52">
        <f t="shared" si="6"/>
        <v>100</v>
      </c>
      <c r="G18" s="52">
        <f t="shared" si="6"/>
        <v>100</v>
      </c>
      <c r="H18" s="52">
        <f t="shared" si="6"/>
        <v>100</v>
      </c>
      <c r="I18" s="52">
        <f t="shared" si="6"/>
        <v>0</v>
      </c>
      <c r="J18" s="52">
        <f t="shared" si="6"/>
        <v>100</v>
      </c>
      <c r="K18" s="9">
        <f>K16+K17</f>
        <v>100</v>
      </c>
      <c r="L18" s="52"/>
      <c r="M18" s="9">
        <f>M16+M17</f>
        <v>100</v>
      </c>
      <c r="N18" s="52"/>
      <c r="O18" s="52"/>
      <c r="P18" s="52"/>
      <c r="Q18" s="9">
        <f>Q16+Q17</f>
        <v>100</v>
      </c>
      <c r="R18" s="52">
        <f>R16+R17</f>
        <v>100</v>
      </c>
      <c r="S18" s="9">
        <f>S16+S17</f>
        <v>100</v>
      </c>
      <c r="T18" s="52"/>
      <c r="U18" s="9">
        <f>U16+U17</f>
        <v>100</v>
      </c>
      <c r="V18" s="52"/>
      <c r="W18" s="9">
        <f>W16+W17</f>
        <v>100</v>
      </c>
      <c r="X18" s="52"/>
      <c r="Y18" s="52"/>
      <c r="Z18" s="9">
        <f aca="true" t="shared" si="7" ref="Z18:BL18">Z16+Z17</f>
        <v>100</v>
      </c>
      <c r="AA18" s="52"/>
      <c r="AB18" s="9">
        <f t="shared" si="7"/>
        <v>100</v>
      </c>
      <c r="AC18" s="52"/>
      <c r="AD18" s="9">
        <f t="shared" si="7"/>
        <v>100</v>
      </c>
      <c r="AE18" s="9">
        <f t="shared" si="7"/>
        <v>100</v>
      </c>
      <c r="AF18" s="52"/>
      <c r="AG18" s="30">
        <f t="shared" si="7"/>
        <v>100</v>
      </c>
      <c r="AH18" s="9">
        <f t="shared" si="7"/>
        <v>100</v>
      </c>
      <c r="AI18" s="9">
        <f t="shared" si="7"/>
        <v>100</v>
      </c>
      <c r="AJ18" s="9">
        <f t="shared" si="7"/>
        <v>100</v>
      </c>
      <c r="AK18" s="52"/>
      <c r="AL18" s="9">
        <f t="shared" si="7"/>
        <v>100</v>
      </c>
      <c r="AM18" s="52"/>
      <c r="AN18" s="9">
        <f t="shared" si="7"/>
        <v>100</v>
      </c>
      <c r="AO18" s="52"/>
      <c r="AP18" s="9">
        <f t="shared" si="7"/>
        <v>100</v>
      </c>
      <c r="AQ18" s="52"/>
      <c r="AR18" s="9">
        <f t="shared" si="7"/>
        <v>100</v>
      </c>
      <c r="AS18" s="9">
        <f t="shared" si="7"/>
        <v>100</v>
      </c>
      <c r="AT18" s="52"/>
      <c r="AU18" s="9">
        <f t="shared" si="7"/>
        <v>100</v>
      </c>
      <c r="AV18" s="52"/>
      <c r="AW18" s="9">
        <f t="shared" si="7"/>
        <v>100</v>
      </c>
      <c r="AX18" s="52"/>
      <c r="AY18" s="9">
        <f t="shared" si="7"/>
        <v>100</v>
      </c>
      <c r="AZ18" s="9">
        <f t="shared" si="7"/>
        <v>100</v>
      </c>
      <c r="BA18" s="52"/>
      <c r="BB18" s="9">
        <f t="shared" si="7"/>
        <v>100</v>
      </c>
      <c r="BC18" s="9">
        <f t="shared" si="7"/>
        <v>100</v>
      </c>
      <c r="BD18" s="52"/>
      <c r="BE18" s="9">
        <f t="shared" si="7"/>
        <v>100</v>
      </c>
      <c r="BF18" s="52"/>
      <c r="BG18" s="9">
        <f t="shared" si="7"/>
        <v>100</v>
      </c>
      <c r="BH18" s="52"/>
      <c r="BI18" s="30">
        <f t="shared" si="7"/>
        <v>100</v>
      </c>
      <c r="BJ18" s="52"/>
      <c r="BK18" s="9">
        <f t="shared" si="7"/>
        <v>100</v>
      </c>
      <c r="BL18" s="9">
        <f t="shared" si="7"/>
        <v>100</v>
      </c>
      <c r="BM18" s="52"/>
      <c r="BN18" s="52"/>
      <c r="BO18" s="9">
        <f aca="true" t="shared" si="8" ref="BO18:BY18">BO16+BO17</f>
        <v>100</v>
      </c>
      <c r="BP18" s="9">
        <f t="shared" si="8"/>
        <v>100</v>
      </c>
      <c r="BQ18" s="30">
        <f t="shared" si="8"/>
        <v>100</v>
      </c>
      <c r="BR18" s="9">
        <f t="shared" si="8"/>
        <v>100</v>
      </c>
      <c r="BS18" s="9">
        <f t="shared" si="8"/>
        <v>100</v>
      </c>
      <c r="BT18" s="52">
        <f t="shared" si="8"/>
        <v>100</v>
      </c>
      <c r="BU18" s="52">
        <f t="shared" si="8"/>
        <v>100</v>
      </c>
      <c r="BV18" s="52"/>
      <c r="BW18" s="9">
        <f t="shared" si="8"/>
        <v>100</v>
      </c>
      <c r="BX18" s="9">
        <f t="shared" si="8"/>
        <v>100</v>
      </c>
      <c r="BY18" s="9">
        <f t="shared" si="8"/>
        <v>100</v>
      </c>
      <c r="BZ18" s="52"/>
      <c r="CA18" s="30"/>
      <c r="CB18" s="52">
        <f aca="true" t="shared" si="9" ref="CB18:CT18">CB16+CB17</f>
        <v>100</v>
      </c>
      <c r="CC18" s="52">
        <f t="shared" si="9"/>
        <v>100</v>
      </c>
      <c r="CD18" s="9">
        <f t="shared" si="9"/>
        <v>100</v>
      </c>
      <c r="CE18" s="9">
        <f t="shared" si="9"/>
        <v>100</v>
      </c>
      <c r="CF18" s="52"/>
      <c r="CG18" s="9">
        <f t="shared" si="9"/>
        <v>100</v>
      </c>
      <c r="CH18" s="9">
        <f t="shared" si="9"/>
        <v>99.99</v>
      </c>
      <c r="CI18" s="9">
        <f t="shared" si="9"/>
        <v>100</v>
      </c>
      <c r="CJ18" s="9">
        <f t="shared" si="9"/>
        <v>100</v>
      </c>
      <c r="CK18" s="9">
        <f t="shared" si="9"/>
        <v>100</v>
      </c>
      <c r="CL18" s="9">
        <f t="shared" si="9"/>
        <v>100</v>
      </c>
      <c r="CM18" s="9">
        <f t="shared" si="9"/>
        <v>100</v>
      </c>
      <c r="CN18" s="9">
        <f t="shared" si="9"/>
        <v>100</v>
      </c>
      <c r="CO18" s="9">
        <f t="shared" si="9"/>
        <v>100</v>
      </c>
      <c r="CP18" s="9">
        <f t="shared" si="9"/>
        <v>100</v>
      </c>
      <c r="CQ18" s="173">
        <f t="shared" si="9"/>
        <v>100</v>
      </c>
      <c r="CR18" s="174"/>
      <c r="CS18" s="9">
        <f t="shared" si="9"/>
        <v>100</v>
      </c>
      <c r="CT18" s="9">
        <f t="shared" si="9"/>
        <v>100</v>
      </c>
      <c r="CV18" s="9">
        <f>SUM(CV16:CV17)</f>
        <v>99.9998245614035</v>
      </c>
      <c r="CW18" s="167"/>
      <c r="CX18" s="9">
        <f>SUM(CX16:CX17)</f>
        <v>99.99933333333333</v>
      </c>
      <c r="CY18" s="9">
        <f>SUM(CY16:CY17)</f>
        <v>100</v>
      </c>
      <c r="CZ18" s="83"/>
      <c r="DA18" s="83"/>
    </row>
    <row r="19" spans="1:105" ht="17.25" customHeight="1">
      <c r="A19" s="47" t="s">
        <v>137</v>
      </c>
      <c r="B19" s="10">
        <v>5</v>
      </c>
      <c r="C19" s="83">
        <v>24676</v>
      </c>
      <c r="D19" s="84">
        <v>1427</v>
      </c>
      <c r="E19" s="83">
        <v>24000</v>
      </c>
      <c r="F19" s="84">
        <v>10652</v>
      </c>
      <c r="G19" s="84">
        <v>13271</v>
      </c>
      <c r="H19" s="84">
        <v>65</v>
      </c>
      <c r="I19" s="84">
        <v>12</v>
      </c>
      <c r="J19" s="84">
        <v>3876</v>
      </c>
      <c r="K19" s="83">
        <v>16303</v>
      </c>
      <c r="L19" s="84">
        <v>260</v>
      </c>
      <c r="M19" s="83">
        <f>9156+1630</f>
        <v>10786</v>
      </c>
      <c r="N19" s="84"/>
      <c r="O19" s="84"/>
      <c r="P19" s="84"/>
      <c r="Q19" s="83">
        <v>3897</v>
      </c>
      <c r="R19" s="84">
        <v>68</v>
      </c>
      <c r="S19" s="83">
        <v>6785</v>
      </c>
      <c r="T19" s="84"/>
      <c r="U19" s="83">
        <v>7643</v>
      </c>
      <c r="V19" s="84">
        <v>150</v>
      </c>
      <c r="W19" s="83">
        <f>838+1054</f>
        <v>1892</v>
      </c>
      <c r="X19" s="84">
        <v>838</v>
      </c>
      <c r="Y19" s="84">
        <v>1054</v>
      </c>
      <c r="Z19" s="83">
        <v>4936</v>
      </c>
      <c r="AA19" s="84">
        <v>686</v>
      </c>
      <c r="AB19" s="83">
        <v>3114</v>
      </c>
      <c r="AC19" s="84">
        <v>1701</v>
      </c>
      <c r="AD19" s="83">
        <v>5490</v>
      </c>
      <c r="AE19" s="83">
        <v>2852</v>
      </c>
      <c r="AF19" s="84">
        <v>106</v>
      </c>
      <c r="AG19" s="83">
        <v>1159</v>
      </c>
      <c r="AH19" s="83">
        <v>4812</v>
      </c>
      <c r="AI19" s="83">
        <v>3535</v>
      </c>
      <c r="AJ19" s="83">
        <v>1722</v>
      </c>
      <c r="AK19" s="84">
        <v>344</v>
      </c>
      <c r="AL19" s="83">
        <v>1641</v>
      </c>
      <c r="AM19" s="84">
        <v>35</v>
      </c>
      <c r="AN19" s="83">
        <v>7734</v>
      </c>
      <c r="AO19" s="84">
        <v>7734</v>
      </c>
      <c r="AP19" s="83">
        <v>8646</v>
      </c>
      <c r="AQ19" s="84">
        <v>7039</v>
      </c>
      <c r="AR19" s="83">
        <v>958</v>
      </c>
      <c r="AS19" s="83">
        <v>2688</v>
      </c>
      <c r="AT19" s="84">
        <v>38</v>
      </c>
      <c r="AU19" s="83">
        <v>356</v>
      </c>
      <c r="AV19" s="84">
        <v>2</v>
      </c>
      <c r="AW19" s="83">
        <v>6428</v>
      </c>
      <c r="AX19" s="84">
        <v>6428</v>
      </c>
      <c r="AY19" s="85">
        <v>283</v>
      </c>
      <c r="AZ19" s="83">
        <v>1181</v>
      </c>
      <c r="BA19" s="84">
        <v>1058</v>
      </c>
      <c r="BB19" s="83">
        <v>2132</v>
      </c>
      <c r="BC19" s="83">
        <v>4365</v>
      </c>
      <c r="BD19" s="84">
        <v>3260</v>
      </c>
      <c r="BE19" s="83">
        <v>917</v>
      </c>
      <c r="BF19" s="84"/>
      <c r="BG19" s="83">
        <v>401</v>
      </c>
      <c r="BH19" s="84">
        <v>165</v>
      </c>
      <c r="BI19" s="85">
        <v>551</v>
      </c>
      <c r="BJ19" s="84"/>
      <c r="BK19" s="83">
        <v>2314</v>
      </c>
      <c r="BL19" s="83">
        <v>0</v>
      </c>
      <c r="BM19" s="84"/>
      <c r="BN19" s="84"/>
      <c r="BO19" s="83">
        <v>0</v>
      </c>
      <c r="BP19" s="83">
        <v>0</v>
      </c>
      <c r="BQ19" s="85">
        <v>652</v>
      </c>
      <c r="BR19" s="83">
        <v>777</v>
      </c>
      <c r="BS19" s="85">
        <v>10761</v>
      </c>
      <c r="BT19" s="105">
        <v>6919</v>
      </c>
      <c r="BU19" s="105">
        <v>3842</v>
      </c>
      <c r="BV19" s="105">
        <v>125</v>
      </c>
      <c r="BW19" s="85">
        <v>143</v>
      </c>
      <c r="BX19" s="83">
        <v>320</v>
      </c>
      <c r="BY19" s="83">
        <v>1378</v>
      </c>
      <c r="BZ19" s="105">
        <v>1378</v>
      </c>
      <c r="CA19" s="85"/>
      <c r="CB19" s="105">
        <v>156</v>
      </c>
      <c r="CC19" s="105">
        <v>337</v>
      </c>
      <c r="CD19" s="83">
        <v>0</v>
      </c>
      <c r="CE19" s="83">
        <v>321</v>
      </c>
      <c r="CF19" s="105">
        <v>211</v>
      </c>
      <c r="CG19" s="83">
        <v>353</v>
      </c>
      <c r="CH19" s="83">
        <v>180</v>
      </c>
      <c r="CI19" s="83">
        <v>0</v>
      </c>
      <c r="CJ19" s="83">
        <v>0</v>
      </c>
      <c r="CK19" s="83">
        <v>165</v>
      </c>
      <c r="CL19" s="83">
        <v>0</v>
      </c>
      <c r="CM19" s="83">
        <v>0</v>
      </c>
      <c r="CN19" s="83">
        <v>54</v>
      </c>
      <c r="CO19" s="83">
        <v>27</v>
      </c>
      <c r="CP19" s="83">
        <v>0</v>
      </c>
      <c r="CQ19" s="176">
        <v>0</v>
      </c>
      <c r="CR19" s="177">
        <v>0</v>
      </c>
      <c r="CS19" s="85">
        <v>89</v>
      </c>
      <c r="CT19" s="83">
        <v>0</v>
      </c>
      <c r="CV19" s="83">
        <f>+(C19+E19+K19+M19+Q19+S19+U19+W19+Z19+AB19+AD19+AE19+AG19+AH19+AI19+AJ19+AL19+AN19+AP19+AR19+AS19+AU19+AW19+AY19+AZ19+BB19+BC19+BE19+BG19+BI19+BK19+BL19+BO19+BP19+BQ19+BR19+BS19+BW19+BX19+BY19+CB19+CC19+CD19+CE19+CG19+CH19+CI19+CJ19+CK19+CL19+CM19+CN19+CO19+CP19+CQ19+CS19+CT19)</f>
        <v>179910</v>
      </c>
      <c r="CW19" s="83"/>
      <c r="CX19" s="9">
        <f>+E19+AR19+BK19+BS19+BX19+CB19+CC19+CG19+CH19+CK19+CN19+CO19+CP19+CS19</f>
        <v>39714</v>
      </c>
      <c r="CY19" s="9">
        <f>+C19+K19+M19+Q19+S19+U19+W19+Z19+AB19+AD19+AE19+AG19+AH19+AI19+AJ19+AL19+AN19+AP19+AS19+AU19+AW19+AY19+AZ19+BB19+BC19+BE19+BG19+BI19+BL19+BP19+BQ19+BR19+BW19+BY19+CD19+CE19+CI19+CJ19+CL19+CM19+CQ19+CT19</f>
        <v>140196</v>
      </c>
      <c r="CZ19" s="83"/>
      <c r="DA19" s="83"/>
    </row>
    <row r="20" spans="1:105" ht="12" customHeight="1">
      <c r="A20" s="47" t="s">
        <v>138</v>
      </c>
      <c r="B20" s="10">
        <v>6</v>
      </c>
      <c r="C20" s="83">
        <v>4676</v>
      </c>
      <c r="D20" s="84">
        <v>1</v>
      </c>
      <c r="E20" s="83">
        <v>7561</v>
      </c>
      <c r="F20" s="84">
        <v>7405</v>
      </c>
      <c r="G20" s="84">
        <v>49</v>
      </c>
      <c r="H20" s="84">
        <v>178</v>
      </c>
      <c r="I20" s="84">
        <v>26</v>
      </c>
      <c r="J20" s="84">
        <v>0.5</v>
      </c>
      <c r="K20" s="83">
        <v>8217</v>
      </c>
      <c r="L20" s="84">
        <v>3</v>
      </c>
      <c r="M20" s="83">
        <v>3408</v>
      </c>
      <c r="N20" s="84"/>
      <c r="O20" s="84"/>
      <c r="P20" s="84"/>
      <c r="Q20" s="83">
        <v>2684</v>
      </c>
      <c r="R20" s="84">
        <v>0</v>
      </c>
      <c r="S20" s="83">
        <v>2373</v>
      </c>
      <c r="T20" s="84"/>
      <c r="U20" s="83">
        <v>1662</v>
      </c>
      <c r="V20" s="84">
        <v>0</v>
      </c>
      <c r="W20" s="83">
        <f>402+8</f>
        <v>410</v>
      </c>
      <c r="X20" s="84">
        <v>402</v>
      </c>
      <c r="Y20" s="84">
        <v>8</v>
      </c>
      <c r="Z20" s="83">
        <v>434</v>
      </c>
      <c r="AA20" s="84">
        <v>0</v>
      </c>
      <c r="AB20" s="83">
        <v>2100</v>
      </c>
      <c r="AC20" s="84">
        <v>7</v>
      </c>
      <c r="AD20" s="83">
        <v>1192</v>
      </c>
      <c r="AE20" s="83">
        <v>883</v>
      </c>
      <c r="AF20" s="84">
        <v>0</v>
      </c>
      <c r="AG20" s="83">
        <v>180</v>
      </c>
      <c r="AH20" s="83">
        <v>3567</v>
      </c>
      <c r="AI20" s="83">
        <v>1507</v>
      </c>
      <c r="AJ20" s="83">
        <v>109</v>
      </c>
      <c r="AK20" s="84">
        <v>0</v>
      </c>
      <c r="AL20" s="83">
        <v>591</v>
      </c>
      <c r="AM20" s="84">
        <v>0</v>
      </c>
      <c r="AN20" s="83">
        <v>142</v>
      </c>
      <c r="AO20" s="84">
        <v>124</v>
      </c>
      <c r="AP20" s="83">
        <v>140</v>
      </c>
      <c r="AQ20" s="84">
        <v>140</v>
      </c>
      <c r="AR20" s="83">
        <v>410</v>
      </c>
      <c r="AS20" s="83">
        <v>1063</v>
      </c>
      <c r="AT20" s="84">
        <v>0</v>
      </c>
      <c r="AU20" s="83">
        <v>91</v>
      </c>
      <c r="AV20" s="84">
        <v>0</v>
      </c>
      <c r="AW20" s="83">
        <v>124</v>
      </c>
      <c r="AX20" s="84">
        <v>124</v>
      </c>
      <c r="AY20" s="83">
        <v>139</v>
      </c>
      <c r="AZ20" s="83">
        <v>41</v>
      </c>
      <c r="BA20" s="84">
        <v>26</v>
      </c>
      <c r="BB20" s="83">
        <v>743</v>
      </c>
      <c r="BC20" s="83">
        <v>44</v>
      </c>
      <c r="BD20" s="84">
        <v>44</v>
      </c>
      <c r="BE20" s="83">
        <v>565</v>
      </c>
      <c r="BF20" s="84"/>
      <c r="BG20" s="83">
        <v>135</v>
      </c>
      <c r="BH20" s="84">
        <v>0</v>
      </c>
      <c r="BI20" s="85">
        <v>398</v>
      </c>
      <c r="BJ20" s="84"/>
      <c r="BK20" s="83">
        <v>1517</v>
      </c>
      <c r="BL20" s="83">
        <v>205</v>
      </c>
      <c r="BM20" s="84"/>
      <c r="BN20" s="84"/>
      <c r="BO20" s="83">
        <v>92</v>
      </c>
      <c r="BP20" s="83">
        <v>105</v>
      </c>
      <c r="BQ20" s="85">
        <v>142</v>
      </c>
      <c r="BR20" s="83">
        <v>207</v>
      </c>
      <c r="BS20" s="85">
        <v>1.2</v>
      </c>
      <c r="BT20" s="105">
        <v>1.2</v>
      </c>
      <c r="BU20" s="105">
        <v>0</v>
      </c>
      <c r="BV20" s="105">
        <v>10</v>
      </c>
      <c r="BW20" s="85">
        <v>22</v>
      </c>
      <c r="BX20" s="83">
        <v>127</v>
      </c>
      <c r="BY20" s="83">
        <v>5</v>
      </c>
      <c r="BZ20" s="105">
        <v>5</v>
      </c>
      <c r="CA20" s="85"/>
      <c r="CB20" s="105">
        <v>0</v>
      </c>
      <c r="CC20" s="105">
        <v>188</v>
      </c>
      <c r="CD20" s="83">
        <v>220</v>
      </c>
      <c r="CE20" s="83">
        <v>19</v>
      </c>
      <c r="CF20" s="105">
        <v>15</v>
      </c>
      <c r="CG20" s="83">
        <v>225</v>
      </c>
      <c r="CH20" s="83">
        <v>145</v>
      </c>
      <c r="CI20" s="83">
        <v>208</v>
      </c>
      <c r="CJ20" s="83">
        <v>73</v>
      </c>
      <c r="CK20" s="83">
        <v>81</v>
      </c>
      <c r="CL20" s="83">
        <v>103</v>
      </c>
      <c r="CM20" s="83">
        <v>111</v>
      </c>
      <c r="CN20" s="83">
        <v>49</v>
      </c>
      <c r="CO20" s="83">
        <v>33</v>
      </c>
      <c r="CP20" s="83">
        <v>124</v>
      </c>
      <c r="CQ20" s="176">
        <v>0</v>
      </c>
      <c r="CR20" s="177">
        <v>0</v>
      </c>
      <c r="CS20" s="83">
        <v>127</v>
      </c>
      <c r="CT20" s="83">
        <v>4</v>
      </c>
      <c r="CV20" s="83">
        <f>+(C20+E20+K20+M20+Q20+S20+U20+W20+Z20+AB20+AD20+AE20+AG20+AH20+AI20+AJ20+AL20+AN20+AP20+AR20+AS20+AU20+AW20+AY20+AZ20+BB20+BC20+BE20+BG20+BI20+BK20+BL20+BO20+BP20+BQ20+BR20+BS20+BW20+BX20+BY20+CB20+CC20+CD20+CE20+CG20+CH20+CI20+CJ20+CK20+CL20+CM20+CN20+CO20+CP20+CQ20+CS20+CT20)</f>
        <v>49722.2</v>
      </c>
      <c r="CW20" s="83"/>
      <c r="CX20" s="9">
        <f>+E20+AR20+BK20+BS20+BX20+CB20+CC20+CG20+CH20+CK20+CN20+CO20+CP20+CS20</f>
        <v>10588.2</v>
      </c>
      <c r="CY20" s="9">
        <f>+C20+K20+M20+Q20+S20+U20+W20+Z20+AB20+AD20+AE20+AG20+AH20+AI20+AJ20+AL20+AN20+AP20+AS20+AU20+AW20+AY20+AZ20+BB20+BC20+BE20+BG20+BI20+BL20+BP20+BQ20+BR20+BW20+BY20+CD20+CE20+CI20+CJ20+CL20+CM20+CQ20+CT20</f>
        <v>39042</v>
      </c>
      <c r="CZ20" s="83"/>
      <c r="DA20" s="83"/>
    </row>
    <row r="21" spans="1:105" ht="18" customHeight="1">
      <c r="A21" s="47" t="s">
        <v>139</v>
      </c>
      <c r="B21" s="10"/>
      <c r="C21" s="167">
        <v>62.5</v>
      </c>
      <c r="D21" s="168"/>
      <c r="E21" s="167">
        <v>72.5</v>
      </c>
      <c r="F21" s="168">
        <v>72.2</v>
      </c>
      <c r="G21" s="168">
        <v>8.8</v>
      </c>
      <c r="H21" s="168">
        <v>51.6</v>
      </c>
      <c r="I21" s="168">
        <v>61.9</v>
      </c>
      <c r="J21" s="168">
        <v>100</v>
      </c>
      <c r="K21" s="167">
        <v>61</v>
      </c>
      <c r="L21" s="168"/>
      <c r="M21" s="167">
        <v>62.8</v>
      </c>
      <c r="N21" s="168"/>
      <c r="O21" s="168"/>
      <c r="P21" s="168"/>
      <c r="Q21" s="167">
        <v>42</v>
      </c>
      <c r="R21" s="168">
        <v>0</v>
      </c>
      <c r="S21" s="167">
        <v>54.7</v>
      </c>
      <c r="T21" s="168"/>
      <c r="U21" s="167">
        <v>51.89</v>
      </c>
      <c r="V21" s="168"/>
      <c r="W21" s="167">
        <v>78.3</v>
      </c>
      <c r="X21" s="168"/>
      <c r="Y21" s="168"/>
      <c r="Z21" s="167">
        <v>49.4</v>
      </c>
      <c r="AA21" s="168"/>
      <c r="AB21" s="167">
        <v>67.8</v>
      </c>
      <c r="AC21" s="168"/>
      <c r="AD21" s="167">
        <v>43.4</v>
      </c>
      <c r="AE21" s="167">
        <v>42.1</v>
      </c>
      <c r="AF21" s="168"/>
      <c r="AG21" s="167">
        <v>74.6</v>
      </c>
      <c r="AH21" s="167">
        <v>68.26</v>
      </c>
      <c r="AI21" s="167">
        <v>44.8</v>
      </c>
      <c r="AJ21" s="167">
        <v>80</v>
      </c>
      <c r="AK21" s="168"/>
      <c r="AL21" s="167">
        <v>38.6</v>
      </c>
      <c r="AM21" s="168"/>
      <c r="AN21" s="167">
        <v>81.6</v>
      </c>
      <c r="AO21" s="168"/>
      <c r="AP21" s="167">
        <v>91</v>
      </c>
      <c r="AQ21" s="168"/>
      <c r="AR21" s="167">
        <v>88.2</v>
      </c>
      <c r="AS21" s="167">
        <v>53</v>
      </c>
      <c r="AT21" s="168"/>
      <c r="AU21" s="167">
        <v>63.32</v>
      </c>
      <c r="AV21" s="168"/>
      <c r="AW21" s="167">
        <v>82.5</v>
      </c>
      <c r="AX21" s="168"/>
      <c r="AY21" s="167">
        <v>73.7</v>
      </c>
      <c r="AZ21" s="167">
        <v>54.51</v>
      </c>
      <c r="BA21" s="168"/>
      <c r="BB21" s="167">
        <v>56.5</v>
      </c>
      <c r="BC21" s="167">
        <v>98.4</v>
      </c>
      <c r="BD21" s="168"/>
      <c r="BE21" s="167">
        <v>46</v>
      </c>
      <c r="BF21" s="168"/>
      <c r="BG21" s="167">
        <v>77.2</v>
      </c>
      <c r="BH21" s="168"/>
      <c r="BI21" s="169">
        <v>61.3</v>
      </c>
      <c r="BJ21" s="168"/>
      <c r="BK21" s="167">
        <v>66.7</v>
      </c>
      <c r="BL21" s="167">
        <v>70.6</v>
      </c>
      <c r="BM21" s="168"/>
      <c r="BN21" s="168"/>
      <c r="BO21" s="167">
        <v>85.5</v>
      </c>
      <c r="BP21" s="167">
        <v>79.5</v>
      </c>
      <c r="BQ21" s="167">
        <f>38.07+3.87</f>
        <v>41.94</v>
      </c>
      <c r="BR21" s="167">
        <v>57.2</v>
      </c>
      <c r="BS21" s="167">
        <v>31</v>
      </c>
      <c r="BT21" s="170">
        <v>31</v>
      </c>
      <c r="BU21" s="170">
        <v>0</v>
      </c>
      <c r="BV21" s="170"/>
      <c r="BW21" s="167">
        <v>92.28</v>
      </c>
      <c r="BX21" s="167">
        <v>74.2</v>
      </c>
      <c r="BY21" s="167">
        <v>100</v>
      </c>
      <c r="BZ21" s="170"/>
      <c r="CA21" s="68">
        <v>76.2</v>
      </c>
      <c r="CB21" s="170">
        <v>0</v>
      </c>
      <c r="CC21" s="170">
        <v>76.2</v>
      </c>
      <c r="CD21" s="167">
        <v>68.5</v>
      </c>
      <c r="CE21" s="167">
        <v>91.48</v>
      </c>
      <c r="CF21" s="170"/>
      <c r="CG21" s="167">
        <v>67</v>
      </c>
      <c r="CH21" s="167">
        <v>69.4</v>
      </c>
      <c r="CI21" s="167">
        <v>82.5</v>
      </c>
      <c r="CJ21" s="167">
        <v>72.8</v>
      </c>
      <c r="CK21" s="167">
        <v>69.3</v>
      </c>
      <c r="CL21" s="167">
        <v>81.8</v>
      </c>
      <c r="CM21" s="167">
        <v>72</v>
      </c>
      <c r="CN21" s="167">
        <v>70.9</v>
      </c>
      <c r="CO21" s="167">
        <v>55</v>
      </c>
      <c r="CP21" s="167">
        <v>65.2</v>
      </c>
      <c r="CQ21" s="169">
        <v>100</v>
      </c>
      <c r="CR21" s="170"/>
      <c r="CS21" s="167">
        <v>58.3</v>
      </c>
      <c r="CT21" s="167">
        <v>100</v>
      </c>
      <c r="CV21" s="167">
        <f>+(C21+E21+K21+M21+Q21+S21+U21+W21+Z21+AB21+AD21+AE21+AG21+AH21+AI21+AJ21+AL21+AN21+AP21+AR21+AS21+AU21+AW21+AY21+AZ21+BB21+BC21+BE21+BG21+BI21+BK21+BL21+BO21+BP21+BQ21+BR21+BS21+BW21+BX21+BY21+CB21+CC21+CD21+CE21+CG21+CH21+CI21+CJ21+CK21+CL21+CM21+CN21+CO21+CP21+CQ21+CS21+CT21)/56</f>
        <v>68.23535714285715</v>
      </c>
      <c r="CW21" s="167"/>
      <c r="CX21" s="167">
        <f>(CX59/$CX$64)*100</f>
        <v>72.46254895960863</v>
      </c>
      <c r="CY21" s="167">
        <f>(CY59/$CY$64)*100</f>
        <v>60.51822157393563</v>
      </c>
      <c r="CZ21" s="167"/>
      <c r="DA21" s="167"/>
    </row>
    <row r="22" spans="1:105" ht="12.75">
      <c r="A22" s="47" t="s">
        <v>140</v>
      </c>
      <c r="B22" s="10"/>
      <c r="C22" s="167">
        <v>23.7</v>
      </c>
      <c r="D22" s="168"/>
      <c r="E22" s="167">
        <v>4.3</v>
      </c>
      <c r="F22" s="168">
        <v>3.8</v>
      </c>
      <c r="G22" s="168">
        <v>81.9</v>
      </c>
      <c r="H22" s="168">
        <v>2.5</v>
      </c>
      <c r="I22" s="168">
        <v>38.1</v>
      </c>
      <c r="J22" s="168">
        <v>0</v>
      </c>
      <c r="K22" s="167">
        <v>30</v>
      </c>
      <c r="L22" s="168"/>
      <c r="M22" s="167">
        <v>17.3</v>
      </c>
      <c r="N22" s="168"/>
      <c r="O22" s="168"/>
      <c r="P22" s="168"/>
      <c r="Q22" s="167">
        <v>42</v>
      </c>
      <c r="R22" s="168">
        <v>0</v>
      </c>
      <c r="S22" s="167">
        <v>33.8</v>
      </c>
      <c r="T22" s="168"/>
      <c r="U22" s="167">
        <v>34.42</v>
      </c>
      <c r="V22" s="168"/>
      <c r="W22" s="167">
        <v>7.2</v>
      </c>
      <c r="X22" s="168"/>
      <c r="Y22" s="168"/>
      <c r="Z22" s="167">
        <v>30.3</v>
      </c>
      <c r="AA22" s="168"/>
      <c r="AB22" s="167">
        <v>15.5</v>
      </c>
      <c r="AC22" s="168"/>
      <c r="AD22" s="167">
        <v>42.1</v>
      </c>
      <c r="AE22" s="167">
        <v>40.3</v>
      </c>
      <c r="AF22" s="168"/>
      <c r="AG22" s="167">
        <v>11.8</v>
      </c>
      <c r="AH22" s="167">
        <v>19.42</v>
      </c>
      <c r="AI22" s="167">
        <v>42.6</v>
      </c>
      <c r="AJ22" s="167">
        <v>7</v>
      </c>
      <c r="AK22" s="168"/>
      <c r="AL22" s="167">
        <v>46.1</v>
      </c>
      <c r="AM22" s="168"/>
      <c r="AN22" s="167">
        <v>1.1</v>
      </c>
      <c r="AO22" s="168"/>
      <c r="AP22" s="167">
        <v>1.8</v>
      </c>
      <c r="AQ22" s="168"/>
      <c r="AR22" s="167">
        <v>10</v>
      </c>
      <c r="AS22" s="167">
        <v>35.7</v>
      </c>
      <c r="AT22" s="168"/>
      <c r="AU22" s="167">
        <v>25.95</v>
      </c>
      <c r="AV22" s="168"/>
      <c r="AW22" s="167">
        <v>0.1</v>
      </c>
      <c r="AX22" s="168"/>
      <c r="AY22" s="167">
        <v>3.94</v>
      </c>
      <c r="AZ22" s="167">
        <v>44.86</v>
      </c>
      <c r="BA22" s="168"/>
      <c r="BB22" s="167">
        <v>33.4</v>
      </c>
      <c r="BC22" s="167">
        <v>1.4</v>
      </c>
      <c r="BD22" s="168"/>
      <c r="BE22" s="167">
        <v>38</v>
      </c>
      <c r="BF22" s="168"/>
      <c r="BG22" s="167">
        <v>6.8</v>
      </c>
      <c r="BH22" s="168"/>
      <c r="BI22" s="169">
        <v>20.5</v>
      </c>
      <c r="BJ22" s="168"/>
      <c r="BK22" s="167">
        <v>5.7</v>
      </c>
      <c r="BL22" s="167">
        <v>7</v>
      </c>
      <c r="BM22" s="168"/>
      <c r="BN22" s="168"/>
      <c r="BO22" s="167">
        <v>0.2</v>
      </c>
      <c r="BP22" s="167">
        <v>0.9</v>
      </c>
      <c r="BQ22" s="167">
        <v>41.93</v>
      </c>
      <c r="BR22" s="167">
        <v>27.9</v>
      </c>
      <c r="BS22" s="167">
        <v>28.4</v>
      </c>
      <c r="BT22" s="168">
        <v>28.4</v>
      </c>
      <c r="BU22" s="168">
        <v>0</v>
      </c>
      <c r="BV22" s="168"/>
      <c r="BW22" s="167">
        <v>3.68</v>
      </c>
      <c r="BX22" s="167">
        <v>4.3</v>
      </c>
      <c r="BY22" s="167">
        <v>0</v>
      </c>
      <c r="BZ22" s="168"/>
      <c r="CA22" s="68">
        <v>4.5</v>
      </c>
      <c r="CB22" s="168">
        <v>0</v>
      </c>
      <c r="CC22" s="168">
        <v>4.5</v>
      </c>
      <c r="CD22" s="167">
        <v>14</v>
      </c>
      <c r="CE22" s="167">
        <v>3.14</v>
      </c>
      <c r="CF22" s="168"/>
      <c r="CG22" s="167">
        <v>2.8</v>
      </c>
      <c r="CH22" s="167">
        <v>11.9</v>
      </c>
      <c r="CI22" s="167">
        <v>13.4</v>
      </c>
      <c r="CJ22" s="167">
        <v>0</v>
      </c>
      <c r="CK22" s="167">
        <v>11</v>
      </c>
      <c r="CL22" s="167">
        <v>17.5</v>
      </c>
      <c r="CM22" s="167">
        <v>5</v>
      </c>
      <c r="CN22" s="167">
        <v>6.4</v>
      </c>
      <c r="CO22" s="167">
        <v>1</v>
      </c>
      <c r="CP22" s="167">
        <v>2.1</v>
      </c>
      <c r="CQ22" s="169">
        <v>0</v>
      </c>
      <c r="CR22" s="170"/>
      <c r="CS22" s="167">
        <v>9.5</v>
      </c>
      <c r="CT22" s="167">
        <v>0</v>
      </c>
      <c r="CV22" s="167">
        <f>+(C22+E22+K22+M22+Q22+S22+U22+W22+Z22+AB22+AD22+AE22+AG22+AH22+AI22+AJ22+AL22+AN22+AP22+AR22+AS22+AU22+AW22+AY22+AZ22+BB22+BC22+BE22+BG22+BI22+BK22+BL22+BO22+BP22+BQ22+BR22+BS22+BW22+BX22+BY22+CB22+CC22+CD22+CE22+CG22+CH22+CI22+CJ22+CK22+CL22+CM22+CN22+CO22+CP22+CQ22+CS22+CT22)/56</f>
        <v>15.95785714285714</v>
      </c>
      <c r="CW22" s="167"/>
      <c r="CX22" s="167">
        <f>(CX60/$CX$64)*100</f>
        <v>4.790262303403379</v>
      </c>
      <c r="CY22" s="167">
        <f>(CY60/$CY$64)*100</f>
        <v>25.311254400501937</v>
      </c>
      <c r="CZ22" s="167"/>
      <c r="DA22" s="167"/>
    </row>
    <row r="23" spans="1:105" ht="12.75">
      <c r="A23" s="47" t="s">
        <v>141</v>
      </c>
      <c r="B23" s="10"/>
      <c r="C23" s="167">
        <v>11</v>
      </c>
      <c r="D23" s="168"/>
      <c r="E23" s="167">
        <v>23</v>
      </c>
      <c r="F23" s="168">
        <v>23.8</v>
      </c>
      <c r="G23" s="168">
        <v>2.2</v>
      </c>
      <c r="H23" s="168">
        <v>45.8</v>
      </c>
      <c r="I23" s="168">
        <v>0</v>
      </c>
      <c r="J23" s="168">
        <v>0</v>
      </c>
      <c r="K23" s="167">
        <v>7</v>
      </c>
      <c r="L23" s="168"/>
      <c r="M23" s="167">
        <v>16.3</v>
      </c>
      <c r="N23" s="168"/>
      <c r="O23" s="168"/>
      <c r="P23" s="168"/>
      <c r="Q23" s="167">
        <v>11</v>
      </c>
      <c r="R23" s="168">
        <v>0</v>
      </c>
      <c r="S23" s="167">
        <v>8.4</v>
      </c>
      <c r="T23" s="168"/>
      <c r="U23" s="167">
        <v>10.27</v>
      </c>
      <c r="V23" s="168"/>
      <c r="W23" s="167">
        <v>14.3</v>
      </c>
      <c r="X23" s="168"/>
      <c r="Y23" s="168"/>
      <c r="Z23" s="167">
        <v>17.7</v>
      </c>
      <c r="AA23" s="168"/>
      <c r="AB23" s="167">
        <v>15.8</v>
      </c>
      <c r="AC23" s="168"/>
      <c r="AD23" s="167">
        <v>11.8</v>
      </c>
      <c r="AE23" s="167">
        <v>14.2</v>
      </c>
      <c r="AF23" s="168"/>
      <c r="AG23" s="167">
        <v>13.3</v>
      </c>
      <c r="AH23" s="167">
        <v>9.19</v>
      </c>
      <c r="AI23" s="167">
        <v>9</v>
      </c>
      <c r="AJ23" s="167">
        <v>12</v>
      </c>
      <c r="AK23" s="168"/>
      <c r="AL23" s="167">
        <v>12.2</v>
      </c>
      <c r="AM23" s="168"/>
      <c r="AN23" s="167">
        <v>16.7</v>
      </c>
      <c r="AO23" s="168"/>
      <c r="AP23" s="167">
        <v>4.2</v>
      </c>
      <c r="AQ23" s="168"/>
      <c r="AR23" s="167">
        <v>1.5</v>
      </c>
      <c r="AS23" s="167">
        <v>8.3</v>
      </c>
      <c r="AT23" s="168"/>
      <c r="AU23" s="167">
        <v>8.74</v>
      </c>
      <c r="AV23" s="168"/>
      <c r="AW23" s="167">
        <v>0.6</v>
      </c>
      <c r="AX23" s="168"/>
      <c r="AY23" s="167">
        <v>21.89</v>
      </c>
      <c r="AZ23" s="167">
        <v>0.63</v>
      </c>
      <c r="BA23" s="168"/>
      <c r="BB23" s="167">
        <v>6.7</v>
      </c>
      <c r="BC23" s="167">
        <v>0.22</v>
      </c>
      <c r="BD23" s="168"/>
      <c r="BE23" s="167">
        <v>10</v>
      </c>
      <c r="BF23" s="168"/>
      <c r="BG23" s="167">
        <v>15.5</v>
      </c>
      <c r="BH23" s="168"/>
      <c r="BI23" s="169">
        <v>17.2</v>
      </c>
      <c r="BJ23" s="168"/>
      <c r="BK23" s="167">
        <v>27.4</v>
      </c>
      <c r="BL23" s="167">
        <v>22.1</v>
      </c>
      <c r="BM23" s="168"/>
      <c r="BN23" s="168"/>
      <c r="BO23" s="167">
        <v>14.3</v>
      </c>
      <c r="BP23" s="167">
        <v>19.6</v>
      </c>
      <c r="BQ23" s="167">
        <v>12.91</v>
      </c>
      <c r="BR23" s="167">
        <v>11.1</v>
      </c>
      <c r="BS23" s="167">
        <v>9.1</v>
      </c>
      <c r="BT23" s="168">
        <v>9.1</v>
      </c>
      <c r="BU23" s="168">
        <v>0</v>
      </c>
      <c r="BV23" s="168"/>
      <c r="BW23" s="167">
        <v>3.61</v>
      </c>
      <c r="BX23" s="167">
        <v>21.5</v>
      </c>
      <c r="BY23" s="167">
        <v>0</v>
      </c>
      <c r="BZ23" s="168"/>
      <c r="CA23" s="68">
        <v>18.3</v>
      </c>
      <c r="CB23" s="168">
        <v>0</v>
      </c>
      <c r="CC23" s="168">
        <v>18.3</v>
      </c>
      <c r="CD23" s="167">
        <v>17.4</v>
      </c>
      <c r="CE23" s="167">
        <v>4.19</v>
      </c>
      <c r="CF23" s="168"/>
      <c r="CG23" s="167">
        <v>29.5</v>
      </c>
      <c r="CH23" s="167">
        <v>18.2</v>
      </c>
      <c r="CI23" s="167">
        <v>3.8</v>
      </c>
      <c r="CJ23" s="167">
        <v>26.2</v>
      </c>
      <c r="CK23" s="167">
        <v>19</v>
      </c>
      <c r="CL23" s="167">
        <v>0.7</v>
      </c>
      <c r="CM23" s="167">
        <v>23</v>
      </c>
      <c r="CN23" s="167">
        <v>20.7</v>
      </c>
      <c r="CO23" s="167">
        <v>44</v>
      </c>
      <c r="CP23" s="167">
        <v>32.5</v>
      </c>
      <c r="CQ23" s="169">
        <v>0</v>
      </c>
      <c r="CR23" s="170"/>
      <c r="CS23" s="167">
        <v>31.4</v>
      </c>
      <c r="CT23" s="167">
        <v>0</v>
      </c>
      <c r="CV23" s="167">
        <f>+(C23+E23+K23+M23+Q23+S23+U23+W23+Z23+AB23+AD23+AE23+AG23+AH23+AI23+AJ23+AL23+AN23+AP23+AR23+AS23+AU23+AW23+AY23+AZ23+BB23+BC23+BE23+BG23+BI23+BK23+BL23+BO23+BP23+BQ23+BR23+BS23+BW23+BX23+BY23+CB23+CC23+CD23+CE23+CG23+CH23+CI23+CJ23+CK23+CL23+CM23+CN23+CO23+CP23+CQ23+CS23+CT23)/56</f>
        <v>13.556250000000004</v>
      </c>
      <c r="CW23" s="167"/>
      <c r="CX23" s="167">
        <f>(CX61/$CX$64)*100</f>
        <v>22.51766997754316</v>
      </c>
      <c r="CY23" s="167">
        <f>(CY61/$CY$64)*100</f>
        <v>11.508478019034927</v>
      </c>
      <c r="CZ23" s="167"/>
      <c r="DA23" s="167"/>
    </row>
    <row r="24" spans="1:105" ht="12.75">
      <c r="A24" s="47" t="s">
        <v>142</v>
      </c>
      <c r="B24" s="10"/>
      <c r="C24" s="167">
        <v>2.8</v>
      </c>
      <c r="D24" s="168"/>
      <c r="E24" s="167">
        <v>0.2</v>
      </c>
      <c r="F24" s="168">
        <v>0.2</v>
      </c>
      <c r="G24" s="168">
        <v>7.1</v>
      </c>
      <c r="H24" s="168">
        <v>0.1</v>
      </c>
      <c r="I24" s="168">
        <v>0</v>
      </c>
      <c r="J24" s="168">
        <v>0</v>
      </c>
      <c r="K24" s="167">
        <v>2</v>
      </c>
      <c r="L24" s="168"/>
      <c r="M24" s="167">
        <v>2.3</v>
      </c>
      <c r="N24" s="168"/>
      <c r="O24" s="168"/>
      <c r="P24" s="168"/>
      <c r="Q24" s="167">
        <v>5</v>
      </c>
      <c r="R24" s="168">
        <v>0</v>
      </c>
      <c r="S24" s="167">
        <v>3.1</v>
      </c>
      <c r="T24" s="168"/>
      <c r="U24" s="167">
        <v>3.42</v>
      </c>
      <c r="V24" s="168"/>
      <c r="W24" s="167">
        <v>0.2</v>
      </c>
      <c r="X24" s="168"/>
      <c r="Y24" s="168"/>
      <c r="Z24" s="167">
        <v>2.6</v>
      </c>
      <c r="AA24" s="168"/>
      <c r="AB24" s="167">
        <v>0.9</v>
      </c>
      <c r="AC24" s="168"/>
      <c r="AD24" s="167">
        <v>2.7</v>
      </c>
      <c r="AE24" s="167">
        <v>3.4</v>
      </c>
      <c r="AF24" s="168"/>
      <c r="AG24" s="167">
        <v>0.3</v>
      </c>
      <c r="AH24" s="167">
        <v>3.12</v>
      </c>
      <c r="AI24" s="167">
        <v>3.6</v>
      </c>
      <c r="AJ24" s="167">
        <v>1</v>
      </c>
      <c r="AK24" s="168"/>
      <c r="AL24" s="167">
        <v>3.1</v>
      </c>
      <c r="AM24" s="168"/>
      <c r="AN24" s="167">
        <v>0.5</v>
      </c>
      <c r="AO24" s="168"/>
      <c r="AP24" s="167">
        <v>0.2</v>
      </c>
      <c r="AQ24" s="168"/>
      <c r="AR24" s="167">
        <v>0.3</v>
      </c>
      <c r="AS24" s="167">
        <v>3</v>
      </c>
      <c r="AT24" s="168"/>
      <c r="AU24" s="167">
        <v>1.99</v>
      </c>
      <c r="AV24" s="168"/>
      <c r="AW24" s="167">
        <v>16.8</v>
      </c>
      <c r="AX24" s="168"/>
      <c r="AY24" s="167">
        <v>0.47</v>
      </c>
      <c r="AZ24" s="167">
        <v>0</v>
      </c>
      <c r="BA24" s="168"/>
      <c r="BB24" s="167">
        <v>3.4</v>
      </c>
      <c r="BC24" s="167">
        <v>0</v>
      </c>
      <c r="BD24" s="168"/>
      <c r="BE24" s="167">
        <v>6</v>
      </c>
      <c r="BF24" s="168"/>
      <c r="BG24" s="167">
        <v>0.5</v>
      </c>
      <c r="BH24" s="168"/>
      <c r="BI24" s="169">
        <v>1</v>
      </c>
      <c r="BJ24" s="168"/>
      <c r="BK24" s="167">
        <v>0.2</v>
      </c>
      <c r="BL24" s="167">
        <v>0.3</v>
      </c>
      <c r="BM24" s="168"/>
      <c r="BN24" s="168"/>
      <c r="BO24" s="167">
        <v>0</v>
      </c>
      <c r="BP24" s="167">
        <v>0</v>
      </c>
      <c r="BQ24" s="167">
        <v>3.22</v>
      </c>
      <c r="BR24" s="167">
        <v>3.8</v>
      </c>
      <c r="BS24" s="167">
        <v>31.5</v>
      </c>
      <c r="BT24" s="168">
        <v>31.5</v>
      </c>
      <c r="BU24" s="168">
        <v>0</v>
      </c>
      <c r="BV24" s="168"/>
      <c r="BW24" s="167">
        <v>0.43</v>
      </c>
      <c r="BX24" s="167">
        <v>0</v>
      </c>
      <c r="BY24" s="167">
        <v>0</v>
      </c>
      <c r="BZ24" s="168"/>
      <c r="CA24" s="68">
        <v>1</v>
      </c>
      <c r="CB24" s="168">
        <v>0</v>
      </c>
      <c r="CC24" s="168">
        <v>1</v>
      </c>
      <c r="CD24" s="167">
        <v>0.1</v>
      </c>
      <c r="CE24" s="167">
        <v>1.19</v>
      </c>
      <c r="CF24" s="168"/>
      <c r="CG24" s="167">
        <v>0.7</v>
      </c>
      <c r="CH24" s="167">
        <v>0.5</v>
      </c>
      <c r="CI24" s="167">
        <v>0.3</v>
      </c>
      <c r="CJ24" s="167">
        <v>1</v>
      </c>
      <c r="CK24" s="167">
        <v>0.7</v>
      </c>
      <c r="CL24" s="167">
        <v>0</v>
      </c>
      <c r="CM24" s="167">
        <v>0</v>
      </c>
      <c r="CN24" s="167">
        <v>2</v>
      </c>
      <c r="CO24" s="167">
        <v>0</v>
      </c>
      <c r="CP24" s="167">
        <v>0.2</v>
      </c>
      <c r="CQ24" s="169">
        <v>0</v>
      </c>
      <c r="CR24" s="170"/>
      <c r="CS24" s="167">
        <v>0.8</v>
      </c>
      <c r="CT24" s="167">
        <v>0</v>
      </c>
      <c r="CV24" s="167">
        <f>+(C24+E24+K24+M24+Q24+S24+U24+W24+Z24+AB24+AD24+AE24+AG24+AH24+AI24+AJ24+AL24+AN24+AP24+AR24+AS24+AU24+AW24+AY24+AZ24+BB24+BC24+BE24+BG24+BI24+BK24+BL24+BO24+BP24+BQ24+BR24+BS24+BW24+BX24+BY24+CB24+CC24+CD24+CE24+CG24+CH24+CI24+CJ24+CK24+CL24+CM24+CN24+CO24+CP24+CQ24+CS24+CT24)/56</f>
        <v>2.1757142857142857</v>
      </c>
      <c r="CW24" s="167"/>
      <c r="CX24" s="167">
        <f>(CX62/$CX$64)*100</f>
        <v>0.22951875944484207</v>
      </c>
      <c r="CY24" s="167">
        <f>(CY62/$CY$64)*100</f>
        <v>2.51741406245639</v>
      </c>
      <c r="CZ24" s="167"/>
      <c r="DA24" s="167"/>
    </row>
    <row r="25" spans="1:105" ht="12.75">
      <c r="A25" s="47" t="s">
        <v>410</v>
      </c>
      <c r="B25" s="10"/>
      <c r="C25" s="167">
        <v>0</v>
      </c>
      <c r="D25" s="168"/>
      <c r="E25" s="167">
        <v>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7">
        <v>0</v>
      </c>
      <c r="L25" s="168"/>
      <c r="M25" s="167">
        <v>1.3</v>
      </c>
      <c r="N25" s="168"/>
      <c r="O25" s="168"/>
      <c r="P25" s="168"/>
      <c r="Q25" s="167">
        <v>0</v>
      </c>
      <c r="R25" s="168">
        <v>0</v>
      </c>
      <c r="S25" s="167">
        <v>0</v>
      </c>
      <c r="T25" s="168"/>
      <c r="U25" s="167">
        <v>0</v>
      </c>
      <c r="V25" s="168"/>
      <c r="W25" s="167">
        <v>0</v>
      </c>
      <c r="X25" s="168"/>
      <c r="Y25" s="168"/>
      <c r="Z25" s="167">
        <v>0</v>
      </c>
      <c r="AA25" s="168"/>
      <c r="AB25" s="167">
        <v>0</v>
      </c>
      <c r="AC25" s="168"/>
      <c r="AD25" s="167">
        <v>0</v>
      </c>
      <c r="AE25" s="167">
        <v>0</v>
      </c>
      <c r="AF25" s="168"/>
      <c r="AG25" s="167">
        <v>0</v>
      </c>
      <c r="AH25" s="167">
        <v>0</v>
      </c>
      <c r="AI25" s="167">
        <v>0</v>
      </c>
      <c r="AJ25" s="167">
        <v>0</v>
      </c>
      <c r="AK25" s="168"/>
      <c r="AL25" s="167">
        <v>0</v>
      </c>
      <c r="AM25" s="168"/>
      <c r="AN25" s="167">
        <v>0.1</v>
      </c>
      <c r="AO25" s="168"/>
      <c r="AP25" s="167">
        <v>2.8</v>
      </c>
      <c r="AQ25" s="168"/>
      <c r="AR25" s="167">
        <v>0</v>
      </c>
      <c r="AS25" s="167">
        <v>0</v>
      </c>
      <c r="AT25" s="168"/>
      <c r="AU25" s="167">
        <v>0</v>
      </c>
      <c r="AV25" s="168"/>
      <c r="AW25" s="167">
        <v>0</v>
      </c>
      <c r="AX25" s="168"/>
      <c r="AY25" s="167">
        <v>0</v>
      </c>
      <c r="AZ25" s="167">
        <v>0</v>
      </c>
      <c r="BA25" s="168"/>
      <c r="BB25" s="167">
        <v>0</v>
      </c>
      <c r="BC25" s="167">
        <v>0</v>
      </c>
      <c r="BD25" s="168"/>
      <c r="BE25" s="167">
        <v>0</v>
      </c>
      <c r="BF25" s="168"/>
      <c r="BG25" s="167">
        <v>0</v>
      </c>
      <c r="BH25" s="168"/>
      <c r="BI25" s="167">
        <v>0</v>
      </c>
      <c r="BJ25" s="168"/>
      <c r="BK25" s="167">
        <v>0</v>
      </c>
      <c r="BL25" s="167">
        <v>0</v>
      </c>
      <c r="BM25" s="168"/>
      <c r="BN25" s="168"/>
      <c r="BO25" s="167">
        <v>0</v>
      </c>
      <c r="BP25" s="167">
        <v>0</v>
      </c>
      <c r="BQ25" s="167">
        <v>0</v>
      </c>
      <c r="BR25" s="167">
        <v>0</v>
      </c>
      <c r="BS25" s="167">
        <v>0</v>
      </c>
      <c r="BT25" s="168">
        <v>0</v>
      </c>
      <c r="BU25" s="168">
        <v>0</v>
      </c>
      <c r="BV25" s="168"/>
      <c r="BW25" s="167">
        <v>0</v>
      </c>
      <c r="BX25" s="167">
        <v>0</v>
      </c>
      <c r="BY25" s="167">
        <v>0</v>
      </c>
      <c r="BZ25" s="168"/>
      <c r="CA25" s="69">
        <v>0</v>
      </c>
      <c r="CB25" s="168">
        <v>0</v>
      </c>
      <c r="CC25" s="168">
        <v>0</v>
      </c>
      <c r="CD25" s="167">
        <v>0</v>
      </c>
      <c r="CE25" s="167">
        <v>0</v>
      </c>
      <c r="CF25" s="168"/>
      <c r="CG25" s="167">
        <v>0</v>
      </c>
      <c r="CH25" s="167">
        <v>0</v>
      </c>
      <c r="CI25" s="167">
        <v>0</v>
      </c>
      <c r="CJ25" s="167">
        <v>0</v>
      </c>
      <c r="CK25" s="167">
        <v>0</v>
      </c>
      <c r="CL25" s="167">
        <v>0</v>
      </c>
      <c r="CM25" s="167">
        <v>0</v>
      </c>
      <c r="CN25" s="167">
        <v>0</v>
      </c>
      <c r="CO25" s="167">
        <v>0</v>
      </c>
      <c r="CP25" s="167">
        <v>0</v>
      </c>
      <c r="CQ25" s="167">
        <v>0</v>
      </c>
      <c r="CR25" s="168"/>
      <c r="CS25" s="167">
        <v>0</v>
      </c>
      <c r="CT25" s="167">
        <v>0</v>
      </c>
      <c r="CV25" s="167">
        <f>+(C25+E25+K25+M25+Q25+S25+U25+W25+Z25+AB25+AD25+AE25+AG25+AH25+AI25+AJ25+AL25+AN25+AP25+AR25+AS25+AU25+AW25+AY25+AZ25+BB25+BC25+BE25+BG25+BI25+BK25+BL25+BO25+BP25+BQ25+BR25+BS25+BW25+BX25+BY25+CB25+CC25+CD25+CE25+CG25+CH25+CI25+CJ25+CK25+CL25+CM25+CN25+CO25+CP25+CQ25+CS25+CT25)/56</f>
        <v>0.075</v>
      </c>
      <c r="CW25" s="167"/>
      <c r="CX25" s="167">
        <f>(CX63/$CX$64)*100</f>
        <v>0</v>
      </c>
      <c r="CY25" s="167">
        <f>(CY63/$CY$64)*100</f>
        <v>0.1446319440711119</v>
      </c>
      <c r="CZ25" s="167"/>
      <c r="DA25" s="167"/>
    </row>
    <row r="26" spans="1:105" ht="12.75">
      <c r="A26" s="6" t="s">
        <v>344</v>
      </c>
      <c r="B26" s="10">
        <v>7</v>
      </c>
      <c r="C26" s="83">
        <f aca="true" t="shared" si="10" ref="C26:BL26">SUM(C21:C25)</f>
        <v>100</v>
      </c>
      <c r="D26" s="84"/>
      <c r="E26" s="83">
        <f t="shared" si="10"/>
        <v>100</v>
      </c>
      <c r="F26" s="84">
        <f t="shared" si="10"/>
        <v>100</v>
      </c>
      <c r="G26" s="84">
        <f t="shared" si="10"/>
        <v>100</v>
      </c>
      <c r="H26" s="84">
        <f t="shared" si="10"/>
        <v>100</v>
      </c>
      <c r="I26" s="84">
        <f t="shared" si="10"/>
        <v>100</v>
      </c>
      <c r="J26" s="84">
        <f t="shared" si="10"/>
        <v>100</v>
      </c>
      <c r="K26" s="83">
        <f t="shared" si="10"/>
        <v>100</v>
      </c>
      <c r="L26" s="84"/>
      <c r="M26" s="83">
        <f t="shared" si="10"/>
        <v>99.99999999999999</v>
      </c>
      <c r="N26" s="84"/>
      <c r="O26" s="84"/>
      <c r="P26" s="84"/>
      <c r="Q26" s="83">
        <f t="shared" si="10"/>
        <v>100</v>
      </c>
      <c r="R26" s="84">
        <f t="shared" si="10"/>
        <v>0</v>
      </c>
      <c r="S26" s="83">
        <f t="shared" si="10"/>
        <v>100</v>
      </c>
      <c r="T26" s="84"/>
      <c r="U26" s="83">
        <f t="shared" si="10"/>
        <v>100</v>
      </c>
      <c r="V26" s="84"/>
      <c r="W26" s="83">
        <f t="shared" si="10"/>
        <v>100</v>
      </c>
      <c r="X26" s="84"/>
      <c r="Y26" s="84"/>
      <c r="Z26" s="83">
        <f t="shared" si="10"/>
        <v>100</v>
      </c>
      <c r="AA26" s="84"/>
      <c r="AB26" s="83">
        <f t="shared" si="10"/>
        <v>100</v>
      </c>
      <c r="AC26" s="84"/>
      <c r="AD26" s="83">
        <f t="shared" si="10"/>
        <v>100</v>
      </c>
      <c r="AE26" s="83">
        <f t="shared" si="10"/>
        <v>100.00000000000001</v>
      </c>
      <c r="AF26" s="84"/>
      <c r="AG26" s="83">
        <f t="shared" si="10"/>
        <v>99.99999999999999</v>
      </c>
      <c r="AH26" s="83">
        <f t="shared" si="10"/>
        <v>99.99000000000001</v>
      </c>
      <c r="AI26" s="83">
        <f t="shared" si="10"/>
        <v>100</v>
      </c>
      <c r="AJ26" s="83">
        <f t="shared" si="10"/>
        <v>100</v>
      </c>
      <c r="AK26" s="84"/>
      <c r="AL26" s="83">
        <f t="shared" si="10"/>
        <v>100</v>
      </c>
      <c r="AM26" s="84"/>
      <c r="AN26" s="83">
        <f t="shared" si="10"/>
        <v>99.99999999999999</v>
      </c>
      <c r="AO26" s="84"/>
      <c r="AP26" s="83">
        <f t="shared" si="10"/>
        <v>100</v>
      </c>
      <c r="AQ26" s="84"/>
      <c r="AR26" s="83">
        <f t="shared" si="10"/>
        <v>100</v>
      </c>
      <c r="AS26" s="83">
        <f t="shared" si="10"/>
        <v>100</v>
      </c>
      <c r="AT26" s="84"/>
      <c r="AU26" s="83">
        <f t="shared" si="10"/>
        <v>99.99999999999999</v>
      </c>
      <c r="AV26" s="84"/>
      <c r="AW26" s="83">
        <f t="shared" si="10"/>
        <v>99.99999999999999</v>
      </c>
      <c r="AX26" s="84"/>
      <c r="AY26" s="83">
        <f t="shared" si="10"/>
        <v>100</v>
      </c>
      <c r="AZ26" s="83">
        <f t="shared" si="10"/>
        <v>100</v>
      </c>
      <c r="BA26" s="84"/>
      <c r="BB26" s="83">
        <f t="shared" si="10"/>
        <v>100.00000000000001</v>
      </c>
      <c r="BC26" s="83">
        <f t="shared" si="10"/>
        <v>100.02000000000001</v>
      </c>
      <c r="BD26" s="84"/>
      <c r="BE26" s="83">
        <f t="shared" si="10"/>
        <v>100</v>
      </c>
      <c r="BF26" s="84"/>
      <c r="BG26" s="83">
        <f t="shared" si="10"/>
        <v>100</v>
      </c>
      <c r="BH26" s="84"/>
      <c r="BI26" s="85">
        <f t="shared" si="10"/>
        <v>100</v>
      </c>
      <c r="BJ26" s="84"/>
      <c r="BK26" s="83">
        <f t="shared" si="10"/>
        <v>100.00000000000001</v>
      </c>
      <c r="BL26" s="83">
        <f t="shared" si="10"/>
        <v>99.99999999999999</v>
      </c>
      <c r="BM26" s="84"/>
      <c r="BN26" s="84"/>
      <c r="BO26" s="83">
        <f aca="true" t="shared" si="11" ref="BO26:BY26">SUM(BO21:BO25)</f>
        <v>100</v>
      </c>
      <c r="BP26" s="83">
        <f t="shared" si="11"/>
        <v>100</v>
      </c>
      <c r="BQ26" s="83">
        <f t="shared" si="11"/>
        <v>100</v>
      </c>
      <c r="BR26" s="83">
        <f t="shared" si="11"/>
        <v>99.99999999999999</v>
      </c>
      <c r="BS26" s="83">
        <f t="shared" si="11"/>
        <v>100</v>
      </c>
      <c r="BT26" s="84">
        <f t="shared" si="11"/>
        <v>100</v>
      </c>
      <c r="BU26" s="84">
        <f t="shared" si="11"/>
        <v>0</v>
      </c>
      <c r="BV26" s="84"/>
      <c r="BW26" s="83">
        <f t="shared" si="11"/>
        <v>100.00000000000001</v>
      </c>
      <c r="BX26" s="167">
        <f t="shared" si="11"/>
        <v>100</v>
      </c>
      <c r="BY26" s="167">
        <f t="shared" si="11"/>
        <v>100</v>
      </c>
      <c r="BZ26" s="84"/>
      <c r="CA26" s="70">
        <f aca="true" t="shared" si="12" ref="CA26:CT26">SUM(CA21:CA25)</f>
        <v>100</v>
      </c>
      <c r="CB26" s="84">
        <f t="shared" si="12"/>
        <v>0</v>
      </c>
      <c r="CC26" s="84">
        <f t="shared" si="12"/>
        <v>100</v>
      </c>
      <c r="CD26" s="167">
        <f t="shared" si="12"/>
        <v>100</v>
      </c>
      <c r="CE26" s="167">
        <f t="shared" si="12"/>
        <v>100</v>
      </c>
      <c r="CF26" s="84"/>
      <c r="CG26" s="167">
        <f t="shared" si="12"/>
        <v>100</v>
      </c>
      <c r="CH26" s="167">
        <f t="shared" si="12"/>
        <v>100.00000000000001</v>
      </c>
      <c r="CI26" s="167">
        <f t="shared" si="12"/>
        <v>100</v>
      </c>
      <c r="CJ26" s="167">
        <f t="shared" si="12"/>
        <v>100</v>
      </c>
      <c r="CK26" s="167">
        <f t="shared" si="12"/>
        <v>100</v>
      </c>
      <c r="CL26" s="167">
        <f t="shared" si="12"/>
        <v>100</v>
      </c>
      <c r="CM26" s="167">
        <f t="shared" si="12"/>
        <v>100</v>
      </c>
      <c r="CN26" s="167">
        <f t="shared" si="12"/>
        <v>100.00000000000001</v>
      </c>
      <c r="CO26" s="167">
        <f t="shared" si="12"/>
        <v>100</v>
      </c>
      <c r="CP26" s="167">
        <f t="shared" si="12"/>
        <v>100</v>
      </c>
      <c r="CQ26" s="167">
        <f t="shared" si="12"/>
        <v>100</v>
      </c>
      <c r="CR26" s="168"/>
      <c r="CS26" s="167">
        <f t="shared" si="12"/>
        <v>99.99999999999999</v>
      </c>
      <c r="CT26" s="167">
        <f t="shared" si="12"/>
        <v>100</v>
      </c>
      <c r="CV26" s="83">
        <f>SUM(CV21:CV25)</f>
        <v>100.00017857142859</v>
      </c>
      <c r="CW26" s="83"/>
      <c r="CX26" s="83">
        <f>SUM(CX21:CX25)</f>
        <v>100.00000000000001</v>
      </c>
      <c r="CY26" s="83">
        <f>SUM(CY21:CY25)</f>
        <v>100</v>
      </c>
      <c r="CZ26" s="167"/>
      <c r="DA26" s="167"/>
    </row>
    <row r="27" spans="1:105" ht="17.25" customHeight="1">
      <c r="A27" s="47" t="s">
        <v>360</v>
      </c>
      <c r="B27" s="10">
        <v>8</v>
      </c>
      <c r="C27" s="178">
        <f>'3.2 Yfirlit'!B19/'3.2 Yfirlit'!B11</f>
        <v>0.26679890290389063</v>
      </c>
      <c r="D27" s="179"/>
      <c r="E27" s="178">
        <f>'3.2 Yfirlit'!D19/'3.2 Yfirlit'!D11</f>
        <v>0.3618740025807442</v>
      </c>
      <c r="F27" s="179">
        <f>'3.2 Yfirlit'!E19/'3.2 Yfirlit'!E11</f>
        <v>0.4778044923501239</v>
      </c>
      <c r="G27" s="179">
        <f>'3.2 Yfirlit'!F19/'3.2 Yfirlit'!F11</f>
        <v>0.002739928044077477</v>
      </c>
      <c r="H27" s="179">
        <f>'3.2 Yfirlit'!G19/'3.2 Yfirlit'!G11</f>
        <v>0.8494123189259216</v>
      </c>
      <c r="I27" s="179">
        <f>'3.2 Yfirlit'!H19/'3.2 Yfirlit'!H11</f>
        <v>0.8170663864507356</v>
      </c>
      <c r="J27" s="179"/>
      <c r="K27" s="178">
        <f>'3.2 Yfirlit'!J19/'3.2 Yfirlit'!J11</f>
        <v>0.6321144465348603</v>
      </c>
      <c r="L27" s="179"/>
      <c r="M27" s="178">
        <f>'3.2 Yfirlit'!L19/'3.2 Yfirlit'!L11</f>
        <v>0.45856890652798765</v>
      </c>
      <c r="N27" s="178">
        <f>'3.2 Yfirlit'!M19/'3.2 Yfirlit'!M11</f>
        <v>0.4839963098727628</v>
      </c>
      <c r="O27" s="178">
        <f>'3.2 Yfirlit'!N19/'3.2 Yfirlit'!N11</f>
        <v>0</v>
      </c>
      <c r="P27" s="178"/>
      <c r="Q27" s="178">
        <f>'3.2 Yfirlit'!P19/'3.2 Yfirlit'!P11</f>
        <v>0.523562307990222</v>
      </c>
      <c r="R27" s="179"/>
      <c r="S27" s="178">
        <f>'3.2 Yfirlit'!R19/'3.2 Yfirlit'!R11</f>
        <v>0.5069704106113568</v>
      </c>
      <c r="T27" s="179"/>
      <c r="U27" s="178">
        <f>'3.2 Yfirlit'!T19/'3.2 Yfirlit'!T11</f>
        <v>0.1527239484209488</v>
      </c>
      <c r="V27" s="179"/>
      <c r="W27" s="178">
        <f>'3.2 Yfirlit'!V19/'3.2 Yfirlit'!V11</f>
        <v>0.6907426528496444</v>
      </c>
      <c r="X27" s="179">
        <f>'3.2 Yfirlit'!W19/'3.2 Yfirlit'!W11</f>
        <v>1.294274152803717</v>
      </c>
      <c r="Y27" s="179">
        <f>'3.2 Yfirlit'!X19/'3.2 Yfirlit'!X11</f>
        <v>0.036812170091863196</v>
      </c>
      <c r="Z27" s="178">
        <f>'3.2 Yfirlit'!Y19/'3.2 Yfirlit'!Y11</f>
        <v>0.1232213985379244</v>
      </c>
      <c r="AA27" s="179"/>
      <c r="AB27" s="178">
        <f>'3.2 Yfirlit'!AA19/'3.2 Yfirlit'!AA11</f>
        <v>0.8255269410673857</v>
      </c>
      <c r="AC27" s="179"/>
      <c r="AD27" s="178">
        <f>'3.2 Yfirlit'!AC19/'3.2 Yfirlit'!AC11</f>
        <v>0.390351686348925</v>
      </c>
      <c r="AE27" s="178">
        <f>'3.2 Yfirlit'!AD19/'3.2 Yfirlit'!AD11</f>
        <v>0.5619805704074118</v>
      </c>
      <c r="AF27" s="179"/>
      <c r="AG27" s="178">
        <f>'3.2 Yfirlit'!AF19/'3.2 Yfirlit'!AF11</f>
        <v>0.2977889065726833</v>
      </c>
      <c r="AH27" s="178">
        <f>'3.2 Yfirlit'!AG19/'3.2 Yfirlit'!AG11</f>
        <v>1.3525006190466884</v>
      </c>
      <c r="AI27" s="178">
        <f>'3.2 Yfirlit'!AH19/'3.2 Yfirlit'!AH11</f>
        <v>0.5260724876472224</v>
      </c>
      <c r="AJ27" s="178">
        <f>'3.2 Yfirlit'!AI19/'3.2 Yfirlit'!AI11</f>
        <v>0.13102632570607603</v>
      </c>
      <c r="AK27" s="179"/>
      <c r="AL27" s="178">
        <f>'3.2 Yfirlit'!AK19/'3.2 Yfirlit'!AK11</f>
        <v>0.5874109995884241</v>
      </c>
      <c r="AM27" s="179"/>
      <c r="AN27" s="178">
        <f>'3.2 Yfirlit'!AM19/'3.2 Yfirlit'!AM11</f>
        <v>0.07082136935827296</v>
      </c>
      <c r="AO27" s="178"/>
      <c r="AP27" s="178">
        <f>'3.2 Yfirlit'!AO19/'3.2 Yfirlit'!AO11</f>
        <v>0.03636564160479541</v>
      </c>
      <c r="AQ27" s="178"/>
      <c r="AR27" s="178">
        <f>'3.2 Yfirlit'!AQ19/'3.2 Yfirlit'!AQ11</f>
        <v>0.3332599763359746</v>
      </c>
      <c r="AS27" s="178">
        <f>'3.2 Yfirlit'!AR19/'3.2 Yfirlit'!AR11</f>
        <v>0.5385425674828496</v>
      </c>
      <c r="AT27" s="178"/>
      <c r="AU27" s="178">
        <f>'3.2 Yfirlit'!AT19/'3.2 Yfirlit'!AT11</f>
        <v>0.573584543946565</v>
      </c>
      <c r="AV27" s="178"/>
      <c r="AW27" s="178">
        <f>'3.2 Yfirlit'!AV19/'3.2 Yfirlit'!AV11</f>
        <v>0.06064591676119492</v>
      </c>
      <c r="AX27" s="178"/>
      <c r="AY27" s="178">
        <f>'3.2 Yfirlit'!AX19/'3.2 Yfirlit'!AX11</f>
        <v>1.6352547286054149</v>
      </c>
      <c r="AZ27" s="178">
        <f>'3.2 Yfirlit'!AY19/'3.2 Yfirlit'!AY11</f>
        <v>0.06890586264973056</v>
      </c>
      <c r="BA27" s="178"/>
      <c r="BB27" s="178">
        <f>'3.2 Yfirlit'!BA19/'3.2 Yfirlit'!BA11</f>
        <v>0.4173611217722161</v>
      </c>
      <c r="BC27" s="178">
        <f>'3.2 Yfirlit'!BB19/'3.2 Yfirlit'!BB11</f>
        <v>0.07629094316158955</v>
      </c>
      <c r="BD27" s="178"/>
      <c r="BE27" s="178">
        <f>'3.2 Yfirlit'!BD19/'3.2 Yfirlit'!BD11</f>
        <v>0.7511212921237395</v>
      </c>
      <c r="BF27" s="178"/>
      <c r="BG27" s="178">
        <f>'3.2 Yfirlit'!BF19/'3.2 Yfirlit'!BF11</f>
        <v>0.39108377342357425</v>
      </c>
      <c r="BH27" s="178"/>
      <c r="BI27" s="178">
        <f>'3.2 Yfirlit'!BH19/'3.2 Yfirlit'!BH11</f>
        <v>0.8472194002918798</v>
      </c>
      <c r="BJ27" s="178"/>
      <c r="BK27" s="178">
        <f>'3.2 Yfirlit'!BJ19/'3.2 Yfirlit'!BJ11</f>
        <v>1.13722990414112</v>
      </c>
      <c r="BL27" s="178"/>
      <c r="BM27" s="178"/>
      <c r="BN27" s="178"/>
      <c r="BO27" s="178"/>
      <c r="BP27" s="178"/>
      <c r="BQ27" s="178">
        <f>'3.2 Yfirlit'!BP19/'3.2 Yfirlit'!BP11</f>
        <v>0.44633328651096676</v>
      </c>
      <c r="BR27" s="178">
        <f>'3.2 Yfirlit'!BQ19/'3.2 Yfirlit'!BQ11</f>
        <v>0.2620813927910865</v>
      </c>
      <c r="BS27" s="178">
        <f>'3.2 Yfirlit'!BR19/'3.2 Yfirlit'!BR11</f>
        <v>0.0003657083861816804</v>
      </c>
      <c r="BT27" s="179">
        <f>'3.2 Yfirlit'!BS19/'3.2 Yfirlit'!BS11</f>
        <v>0.00040331915281573383</v>
      </c>
      <c r="BU27" s="179">
        <f>'3.2 Yfirlit'!BT19/'3.2 Yfirlit'!BT11</f>
        <v>0</v>
      </c>
      <c r="BV27" s="179"/>
      <c r="BW27" s="178">
        <f>'3.2 Yfirlit'!BV19/'3.2 Yfirlit'!BV11</f>
        <v>-2.925518710413722</v>
      </c>
      <c r="BX27" s="178">
        <f>'3.2 Yfirlit'!BW19/'3.2 Yfirlit'!BW11</f>
        <v>0.8055176474329097</v>
      </c>
      <c r="BY27" s="178">
        <f>'3.2 Yfirlit'!BX19/'3.2 Yfirlit'!BX11</f>
        <v>0.026661294243656836</v>
      </c>
      <c r="BZ27" s="178"/>
      <c r="CA27" s="178"/>
      <c r="CB27" s="179">
        <f>'3.2 Yfirlit'!CA19/'3.2 Yfirlit'!CA11</f>
        <v>0</v>
      </c>
      <c r="CC27" s="179">
        <f>'3.2 Yfirlit'!CB19/'3.2 Yfirlit'!CB11</f>
        <v>0.8563228922720602</v>
      </c>
      <c r="CD27" s="178"/>
      <c r="CE27" s="178">
        <f>'3.2 Yfirlit'!CD19/'3.2 Yfirlit'!CD11</f>
        <v>0.22036402966128732</v>
      </c>
      <c r="CF27" s="178"/>
      <c r="CG27" s="178">
        <f>'3.2 Yfirlit'!CF19/'3.2 Yfirlit'!CF11</f>
        <v>1.0366338211421449</v>
      </c>
      <c r="CH27" s="178">
        <f>'3.2 Yfirlit'!CG19/'3.2 Yfirlit'!CG11</f>
        <v>1.4382755165180308</v>
      </c>
      <c r="CI27" s="178"/>
      <c r="CJ27" s="178"/>
      <c r="CK27" s="178">
        <f>'3.2 Yfirlit'!CJ19/'3.2 Yfirlit'!CJ11</f>
        <v>0.9449736598810374</v>
      </c>
      <c r="CL27" s="178"/>
      <c r="CM27" s="178"/>
      <c r="CN27" s="178">
        <f>'3.2 Yfirlit'!CM19/'3.2 Yfirlit'!CM11</f>
        <v>1.1768703628271575</v>
      </c>
      <c r="CO27" s="178">
        <f>'3.2 Yfirlit'!CN19/'3.2 Yfirlit'!CN11</f>
        <v>1.3134613524773235</v>
      </c>
      <c r="CP27" s="178"/>
      <c r="CQ27" s="178"/>
      <c r="CR27" s="178"/>
      <c r="CS27" s="178">
        <f>'3.2 Yfirlit'!CR19/'3.2 Yfirlit'!CR11</f>
        <v>1.6091847693342027</v>
      </c>
      <c r="CT27" s="178"/>
      <c r="CV27" s="178">
        <f>('3.2 Yfirlit'!CV19-585210)/('3.2 Yfirlit'!CV11+48527)</f>
        <v>0.36692448472721323</v>
      </c>
      <c r="CW27" s="178"/>
      <c r="CX27" s="178">
        <f>('3.2 Yfirlit'!CX19-168991)/('3.2 Yfirlit'!CX11+52329)</f>
        <v>0.38551313502693313</v>
      </c>
      <c r="CY27" s="178">
        <f>('3.2 Yfirlit'!CY19-416219)/('3.2 Yfirlit'!CY11-3802)</f>
        <v>0.35334917368517715</v>
      </c>
      <c r="CZ27" s="167"/>
      <c r="DA27" s="167"/>
    </row>
    <row r="28" spans="1:105" ht="8.25" customHeight="1">
      <c r="A28" s="47"/>
      <c r="B28" s="10"/>
      <c r="C28" s="178"/>
      <c r="D28" s="179"/>
      <c r="E28" s="178"/>
      <c r="F28" s="179"/>
      <c r="G28" s="179"/>
      <c r="H28" s="179"/>
      <c r="I28" s="179"/>
      <c r="J28" s="179"/>
      <c r="K28" s="178"/>
      <c r="L28" s="179"/>
      <c r="M28" s="178"/>
      <c r="N28" s="179"/>
      <c r="O28" s="179"/>
      <c r="P28" s="179"/>
      <c r="Q28" s="178"/>
      <c r="R28" s="179"/>
      <c r="S28" s="178"/>
      <c r="T28" s="179"/>
      <c r="U28" s="178"/>
      <c r="V28" s="179"/>
      <c r="W28" s="178"/>
      <c r="X28" s="179"/>
      <c r="Y28" s="179"/>
      <c r="Z28" s="178"/>
      <c r="AA28" s="179"/>
      <c r="AB28" s="178"/>
      <c r="AC28" s="179"/>
      <c r="AD28" s="178"/>
      <c r="AE28" s="178"/>
      <c r="AF28" s="179"/>
      <c r="AG28" s="178"/>
      <c r="AH28" s="178"/>
      <c r="AI28" s="178"/>
      <c r="AJ28" s="178"/>
      <c r="AK28" s="179"/>
      <c r="AL28" s="178"/>
      <c r="AM28" s="179"/>
      <c r="AN28" s="178"/>
      <c r="AO28" s="179"/>
      <c r="AP28" s="178"/>
      <c r="AQ28" s="179"/>
      <c r="AR28" s="178"/>
      <c r="AS28" s="178"/>
      <c r="AT28" s="179"/>
      <c r="AU28" s="178"/>
      <c r="AV28" s="179"/>
      <c r="AW28" s="178"/>
      <c r="AX28" s="179"/>
      <c r="AY28" s="178"/>
      <c r="AZ28" s="178"/>
      <c r="BA28" s="179"/>
      <c r="BB28" s="178"/>
      <c r="BC28" s="178"/>
      <c r="BD28" s="179"/>
      <c r="BE28" s="178"/>
      <c r="BF28" s="179"/>
      <c r="BG28" s="178"/>
      <c r="BH28" s="179"/>
      <c r="BI28" s="180"/>
      <c r="BJ28" s="179"/>
      <c r="BK28" s="178"/>
      <c r="BL28" s="178"/>
      <c r="BM28" s="179"/>
      <c r="BN28" s="179"/>
      <c r="BO28" s="178"/>
      <c r="BP28" s="178"/>
      <c r="BQ28" s="178"/>
      <c r="BR28" s="178"/>
      <c r="BS28" s="178"/>
      <c r="BT28" s="179"/>
      <c r="BU28" s="179"/>
      <c r="BV28" s="179"/>
      <c r="BW28" s="178"/>
      <c r="BX28" s="178"/>
      <c r="BY28" s="178"/>
      <c r="BZ28" s="179"/>
      <c r="CA28" s="178"/>
      <c r="CB28" s="179"/>
      <c r="CC28" s="179"/>
      <c r="CD28" s="178"/>
      <c r="CE28" s="178"/>
      <c r="CF28" s="179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9"/>
      <c r="CS28" s="178"/>
      <c r="CT28" s="180"/>
      <c r="CV28" s="178"/>
      <c r="CW28" s="178"/>
      <c r="CX28" s="9"/>
      <c r="CY28" s="9"/>
      <c r="CZ28" s="167"/>
      <c r="DA28" s="167"/>
    </row>
    <row r="29" spans="1:105" s="186" customFormat="1" ht="24" customHeight="1">
      <c r="A29" s="181" t="s">
        <v>341</v>
      </c>
      <c r="B29" s="10">
        <v>9</v>
      </c>
      <c r="C29" s="182">
        <v>0.017</v>
      </c>
      <c r="D29" s="156"/>
      <c r="E29" s="156"/>
      <c r="F29" s="156">
        <v>-0.666</v>
      </c>
      <c r="G29" s="156">
        <v>-0.001</v>
      </c>
      <c r="H29" s="156">
        <v>-0.92</v>
      </c>
      <c r="I29" s="156">
        <v>-0.935</v>
      </c>
      <c r="J29" s="156"/>
      <c r="K29" s="182">
        <v>0.02</v>
      </c>
      <c r="L29" s="156"/>
      <c r="M29" s="156"/>
      <c r="N29" s="156">
        <v>0.024</v>
      </c>
      <c r="O29" s="156">
        <v>0.01</v>
      </c>
      <c r="P29" s="156"/>
      <c r="Q29" s="182">
        <v>-0.06</v>
      </c>
      <c r="R29" s="156"/>
      <c r="S29" s="182">
        <v>-0.031</v>
      </c>
      <c r="T29" s="156"/>
      <c r="U29" s="182">
        <v>0.027</v>
      </c>
      <c r="V29" s="156"/>
      <c r="W29" s="156"/>
      <c r="X29" s="156">
        <v>0.004</v>
      </c>
      <c r="Y29" s="156">
        <v>0.012</v>
      </c>
      <c r="Z29" s="182">
        <v>-0.002</v>
      </c>
      <c r="AA29" s="156"/>
      <c r="AB29" s="156" t="s">
        <v>427</v>
      </c>
      <c r="AC29" s="156"/>
      <c r="AD29" s="183">
        <v>-0.011</v>
      </c>
      <c r="AE29" s="182">
        <v>-0.011</v>
      </c>
      <c r="AF29" s="156"/>
      <c r="AG29" s="182">
        <v>-0.019</v>
      </c>
      <c r="AH29" s="182">
        <v>-0.004</v>
      </c>
      <c r="AI29" s="182">
        <v>-0.018</v>
      </c>
      <c r="AJ29" s="182">
        <v>-0.025</v>
      </c>
      <c r="AK29" s="156"/>
      <c r="AL29" s="182">
        <v>-0.007</v>
      </c>
      <c r="AM29" s="156"/>
      <c r="AN29" s="182">
        <v>0.061</v>
      </c>
      <c r="AO29" s="156"/>
      <c r="AP29" s="182">
        <v>0.168</v>
      </c>
      <c r="AQ29" s="156"/>
      <c r="AR29" s="182">
        <v>-0.651</v>
      </c>
      <c r="AS29" s="182">
        <v>-0.027</v>
      </c>
      <c r="AT29" s="156"/>
      <c r="AU29" s="182">
        <v>0.018</v>
      </c>
      <c r="AV29" s="156"/>
      <c r="AW29" s="182">
        <v>-0.013</v>
      </c>
      <c r="AX29" s="156"/>
      <c r="AY29" s="182">
        <v>0.038</v>
      </c>
      <c r="AZ29" s="182">
        <v>0.171</v>
      </c>
      <c r="BA29" s="156"/>
      <c r="BB29" s="182">
        <v>0.101</v>
      </c>
      <c r="BC29" s="182">
        <v>0.066</v>
      </c>
      <c r="BD29" s="156"/>
      <c r="BE29" s="182">
        <v>-0.068</v>
      </c>
      <c r="BF29" s="156"/>
      <c r="BG29" s="182">
        <v>0.04</v>
      </c>
      <c r="BH29" s="156"/>
      <c r="BI29" s="183">
        <v>0.033</v>
      </c>
      <c r="BJ29" s="156"/>
      <c r="BK29" s="182">
        <v>-0.801</v>
      </c>
      <c r="BL29" s="184"/>
      <c r="BM29" s="156"/>
      <c r="BN29" s="156"/>
      <c r="BO29" s="182">
        <v>0.011</v>
      </c>
      <c r="BP29" s="182"/>
      <c r="BQ29" s="182">
        <v>-0.0525</v>
      </c>
      <c r="BR29" s="182">
        <v>0.033</v>
      </c>
      <c r="BS29" s="156"/>
      <c r="BT29" s="156">
        <v>-0.048</v>
      </c>
      <c r="BU29" s="156">
        <v>0.0464</v>
      </c>
      <c r="BV29" s="156"/>
      <c r="BW29" s="182"/>
      <c r="BX29" s="185" t="s">
        <v>480</v>
      </c>
      <c r="BY29" s="182">
        <v>0.06</v>
      </c>
      <c r="BZ29" s="156"/>
      <c r="CA29" s="156"/>
      <c r="CB29" s="156">
        <v>-0.13</v>
      </c>
      <c r="CC29" s="156">
        <v>-0.63</v>
      </c>
      <c r="CD29" s="182"/>
      <c r="CE29" s="182">
        <v>0.027</v>
      </c>
      <c r="CF29" s="156"/>
      <c r="CG29" s="182">
        <v>-0.713</v>
      </c>
      <c r="CH29" s="182">
        <v>-0.62</v>
      </c>
      <c r="CI29" s="182"/>
      <c r="CK29" s="182">
        <v>-0.724</v>
      </c>
      <c r="CM29" s="183"/>
      <c r="CN29" s="182">
        <v>-0.702</v>
      </c>
      <c r="CO29" s="182">
        <v>-0.742</v>
      </c>
      <c r="CP29" s="182"/>
      <c r="CQ29" s="182"/>
      <c r="CR29" s="156"/>
      <c r="CS29" s="182">
        <v>-0.891</v>
      </c>
      <c r="CT29" s="183"/>
      <c r="CV29" s="182"/>
      <c r="CW29" s="182"/>
      <c r="CX29" s="9"/>
      <c r="CY29" s="9"/>
      <c r="CZ29" s="182"/>
      <c r="DA29" s="184"/>
    </row>
    <row r="30" spans="1:105" s="186" customFormat="1" ht="23.25" customHeight="1">
      <c r="A30" s="181" t="s">
        <v>342</v>
      </c>
      <c r="B30" s="10">
        <v>10</v>
      </c>
      <c r="C30" s="182">
        <v>0.265</v>
      </c>
      <c r="D30" s="156"/>
      <c r="E30" s="156"/>
      <c r="F30" s="156">
        <v>-0.7</v>
      </c>
      <c r="G30" s="156">
        <v>0.411</v>
      </c>
      <c r="H30" s="156">
        <v>-0.978</v>
      </c>
      <c r="I30" s="156">
        <v>-0.982</v>
      </c>
      <c r="J30" s="156"/>
      <c r="K30" s="182">
        <v>0.08</v>
      </c>
      <c r="L30" s="156"/>
      <c r="M30" s="156"/>
      <c r="N30" s="156">
        <v>0.168</v>
      </c>
      <c r="O30" s="156">
        <v>0.394</v>
      </c>
      <c r="P30" s="156"/>
      <c r="Q30" s="182">
        <v>0.082</v>
      </c>
      <c r="R30" s="156"/>
      <c r="S30" s="182">
        <v>0.073</v>
      </c>
      <c r="T30" s="156"/>
      <c r="U30" s="182">
        <v>0.295</v>
      </c>
      <c r="V30" s="156"/>
      <c r="W30" s="156"/>
      <c r="X30" s="156">
        <v>0.113</v>
      </c>
      <c r="Y30" s="156">
        <v>0.499</v>
      </c>
      <c r="Z30" s="183">
        <v>0.434</v>
      </c>
      <c r="AA30" s="187"/>
      <c r="AB30" s="156" t="s">
        <v>484</v>
      </c>
      <c r="AC30" s="156"/>
      <c r="AD30" s="183">
        <v>0.142</v>
      </c>
      <c r="AE30" s="182">
        <v>0.127</v>
      </c>
      <c r="AF30" s="156"/>
      <c r="AG30" s="182">
        <v>-0.067</v>
      </c>
      <c r="AH30" s="182">
        <v>0.067</v>
      </c>
      <c r="AI30" s="182">
        <v>0</v>
      </c>
      <c r="AJ30" s="182">
        <v>-0.071</v>
      </c>
      <c r="AK30" s="156"/>
      <c r="AL30" s="182">
        <v>0.162</v>
      </c>
      <c r="AM30" s="156"/>
      <c r="AN30" s="182">
        <v>0.534</v>
      </c>
      <c r="AO30" s="156"/>
      <c r="AP30" s="182">
        <v>0.295</v>
      </c>
      <c r="AQ30" s="156"/>
      <c r="AR30" s="182">
        <v>-0.67</v>
      </c>
      <c r="AS30" s="182">
        <v>0.001</v>
      </c>
      <c r="AT30" s="156"/>
      <c r="AU30" s="182">
        <v>0.146</v>
      </c>
      <c r="AV30" s="156"/>
      <c r="AW30" s="182">
        <v>0.275</v>
      </c>
      <c r="AX30" s="156"/>
      <c r="AY30" s="182">
        <v>0.072</v>
      </c>
      <c r="AZ30" s="182">
        <v>0.144</v>
      </c>
      <c r="BA30" s="156"/>
      <c r="BB30" s="182">
        <v>0.246</v>
      </c>
      <c r="BC30" s="182">
        <v>0.364</v>
      </c>
      <c r="BD30" s="156"/>
      <c r="BE30" s="182">
        <v>-0.08</v>
      </c>
      <c r="BF30" s="156"/>
      <c r="BG30" s="182">
        <v>0.269</v>
      </c>
      <c r="BH30" s="156"/>
      <c r="BI30" s="183">
        <v>0.132</v>
      </c>
      <c r="BJ30" s="156"/>
      <c r="BK30" s="182">
        <v>-0.866</v>
      </c>
      <c r="BL30" s="156"/>
      <c r="BM30" s="156">
        <v>-0.019</v>
      </c>
      <c r="BN30" s="156">
        <v>0</v>
      </c>
      <c r="BO30" s="182"/>
      <c r="BP30" s="182">
        <v>-0.042</v>
      </c>
      <c r="BQ30" s="182">
        <v>0.0673</v>
      </c>
      <c r="BR30" s="182">
        <v>0.135</v>
      </c>
      <c r="BS30" s="156"/>
      <c r="BT30" s="156">
        <v>0.2946</v>
      </c>
      <c r="BU30" s="156">
        <v>0.1607</v>
      </c>
      <c r="BV30" s="156"/>
      <c r="BW30" s="182">
        <v>0.0341</v>
      </c>
      <c r="BX30" s="185" t="s">
        <v>480</v>
      </c>
      <c r="BY30" s="182">
        <v>0.239</v>
      </c>
      <c r="BZ30" s="156"/>
      <c r="CA30" s="156"/>
      <c r="CB30" s="156">
        <v>-0.03</v>
      </c>
      <c r="CC30" s="156">
        <v>-0.64</v>
      </c>
      <c r="CD30" s="182">
        <v>-0.01</v>
      </c>
      <c r="CE30" s="182">
        <v>0.251</v>
      </c>
      <c r="CF30" s="156"/>
      <c r="CG30" s="182">
        <v>-0.76</v>
      </c>
      <c r="CH30" s="182">
        <v>-0.619</v>
      </c>
      <c r="CI30" s="182">
        <v>-0.074</v>
      </c>
      <c r="CJ30" s="182">
        <v>0.002</v>
      </c>
      <c r="CK30" s="182">
        <v>-0.711</v>
      </c>
      <c r="CL30" s="183">
        <v>-0.003</v>
      </c>
      <c r="CM30" s="183">
        <v>0.002</v>
      </c>
      <c r="CN30" s="182">
        <v>-0.698</v>
      </c>
      <c r="CO30" s="182">
        <v>-0.766</v>
      </c>
      <c r="CP30" s="182">
        <v>-0.958</v>
      </c>
      <c r="CQ30" s="182"/>
      <c r="CR30" s="156"/>
      <c r="CS30" s="182">
        <v>-0.951</v>
      </c>
      <c r="CT30" s="183"/>
      <c r="CV30" s="182"/>
      <c r="CW30" s="182"/>
      <c r="CX30" s="9"/>
      <c r="CY30" s="9"/>
      <c r="CZ30" s="182"/>
      <c r="DA30" s="184"/>
    </row>
    <row r="31" spans="1:105" ht="9" customHeight="1">
      <c r="A31" s="188"/>
      <c r="B31" s="10"/>
      <c r="C31" s="153"/>
      <c r="D31" s="154"/>
      <c r="E31" s="153"/>
      <c r="F31" s="154"/>
      <c r="G31" s="154"/>
      <c r="H31" s="154"/>
      <c r="I31" s="154"/>
      <c r="J31" s="154"/>
      <c r="K31" s="153"/>
      <c r="L31" s="154"/>
      <c r="M31" s="153"/>
      <c r="N31" s="154"/>
      <c r="O31" s="154"/>
      <c r="P31" s="154"/>
      <c r="Q31" s="153"/>
      <c r="R31" s="154"/>
      <c r="S31" s="153"/>
      <c r="T31" s="154"/>
      <c r="U31" s="153"/>
      <c r="V31" s="154"/>
      <c r="W31" s="153"/>
      <c r="X31" s="154"/>
      <c r="Y31" s="154"/>
      <c r="Z31" s="153"/>
      <c r="AA31" s="154"/>
      <c r="AB31" s="153"/>
      <c r="AC31" s="154"/>
      <c r="AD31" s="153"/>
      <c r="AE31" s="153"/>
      <c r="AF31" s="154"/>
      <c r="AG31" s="153"/>
      <c r="AH31" s="153"/>
      <c r="AI31" s="153"/>
      <c r="AJ31" s="83"/>
      <c r="AK31" s="154"/>
      <c r="AL31" s="83"/>
      <c r="AM31" s="154"/>
      <c r="AN31" s="83"/>
      <c r="AO31" s="154"/>
      <c r="AP31" s="83"/>
      <c r="AQ31" s="154"/>
      <c r="AR31" s="83"/>
      <c r="AS31" s="83"/>
      <c r="AT31" s="154"/>
      <c r="AU31" s="83"/>
      <c r="AV31" s="154"/>
      <c r="AW31" s="83"/>
      <c r="AX31" s="154"/>
      <c r="AY31" s="83"/>
      <c r="AZ31" s="83"/>
      <c r="BA31" s="154"/>
      <c r="BB31" s="83"/>
      <c r="BC31" s="83"/>
      <c r="BD31" s="154"/>
      <c r="BE31" s="83"/>
      <c r="BF31" s="154"/>
      <c r="BG31" s="83"/>
      <c r="BH31" s="154"/>
      <c r="BI31" s="85"/>
      <c r="BJ31" s="154"/>
      <c r="BK31" s="83"/>
      <c r="BL31" s="167"/>
      <c r="BM31" s="154"/>
      <c r="BN31" s="154"/>
      <c r="BO31" s="83"/>
      <c r="BP31" s="83"/>
      <c r="BQ31" s="83"/>
      <c r="BR31" s="83"/>
      <c r="BS31" s="83"/>
      <c r="BT31" s="84"/>
      <c r="BU31" s="84"/>
      <c r="BV31" s="84"/>
      <c r="BW31" s="83"/>
      <c r="BX31" s="83"/>
      <c r="BY31" s="83"/>
      <c r="BZ31" s="84"/>
      <c r="CA31" s="83"/>
      <c r="CB31" s="84"/>
      <c r="CC31" s="84"/>
      <c r="CD31" s="83"/>
      <c r="CE31" s="83"/>
      <c r="CF31" s="84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4"/>
      <c r="CS31" s="83"/>
      <c r="CT31" s="83"/>
      <c r="CV31" s="83"/>
      <c r="CW31" s="83"/>
      <c r="CX31" s="9"/>
      <c r="CY31" s="9"/>
      <c r="CZ31" s="83"/>
      <c r="DA31" s="83"/>
    </row>
    <row r="32" spans="1:223" s="191" customFormat="1" ht="12.75">
      <c r="A32" s="81" t="s">
        <v>143</v>
      </c>
      <c r="B32" s="47"/>
      <c r="C32" s="189"/>
      <c r="D32" s="190"/>
      <c r="E32" s="189"/>
      <c r="F32" s="190"/>
      <c r="G32" s="190" t="s">
        <v>449</v>
      </c>
      <c r="H32" s="190"/>
      <c r="I32" s="190"/>
      <c r="J32" s="190" t="s">
        <v>451</v>
      </c>
      <c r="K32" s="189"/>
      <c r="L32" s="190"/>
      <c r="M32" s="190"/>
      <c r="N32" s="190"/>
      <c r="O32" s="190"/>
      <c r="P32" s="190"/>
      <c r="Q32" s="189"/>
      <c r="R32" s="190"/>
      <c r="S32" s="189"/>
      <c r="T32" s="190"/>
      <c r="U32" s="189"/>
      <c r="V32" s="189"/>
      <c r="W32" s="190"/>
      <c r="X32" s="190"/>
      <c r="Y32" s="190"/>
      <c r="Z32" s="190" t="s">
        <v>451</v>
      </c>
      <c r="AA32" s="190"/>
      <c r="AB32" s="190"/>
      <c r="AC32" s="190"/>
      <c r="AD32" s="190"/>
      <c r="AE32" s="190"/>
      <c r="AF32" s="190"/>
      <c r="AG32" s="190"/>
      <c r="AH32" s="190"/>
      <c r="AI32" s="190" t="s">
        <v>454</v>
      </c>
      <c r="AJ32" s="189"/>
      <c r="AK32" s="190"/>
      <c r="AL32" s="190"/>
      <c r="AM32" s="190"/>
      <c r="AN32" s="189"/>
      <c r="AO32" s="190"/>
      <c r="AP32" s="189"/>
      <c r="AQ32" s="190"/>
      <c r="AR32" s="190"/>
      <c r="AS32" s="190"/>
      <c r="AT32" s="190"/>
      <c r="AU32" s="189"/>
      <c r="AV32" s="190"/>
      <c r="AW32" s="189"/>
      <c r="AX32" s="190"/>
      <c r="AY32" s="190"/>
      <c r="AZ32" s="168" t="s">
        <v>483</v>
      </c>
      <c r="BA32" s="190"/>
      <c r="BB32" s="190"/>
      <c r="BC32" s="190"/>
      <c r="BD32" s="190"/>
      <c r="BE32" s="190"/>
      <c r="BF32" s="190"/>
      <c r="BG32" s="190"/>
      <c r="BH32" s="189"/>
      <c r="BI32" s="189"/>
      <c r="BJ32" s="189"/>
      <c r="BK32" s="190"/>
      <c r="BL32" s="190" t="s">
        <v>374</v>
      </c>
      <c r="BM32" s="189"/>
      <c r="BN32" s="189"/>
      <c r="BO32" s="190"/>
      <c r="BP32" s="190" t="s">
        <v>374</v>
      </c>
      <c r="BQ32" s="190"/>
      <c r="BR32" s="190"/>
      <c r="BS32" s="190" t="s">
        <v>379</v>
      </c>
      <c r="BT32" s="190"/>
      <c r="BU32" s="190"/>
      <c r="BV32" s="190"/>
      <c r="BW32" s="190" t="s">
        <v>374</v>
      </c>
      <c r="BX32" s="190" t="s">
        <v>481</v>
      </c>
      <c r="BY32" s="168" t="s">
        <v>483</v>
      </c>
      <c r="BZ32" s="190"/>
      <c r="CA32" s="190"/>
      <c r="CB32" s="190"/>
      <c r="CC32" s="190"/>
      <c r="CD32" s="190" t="s">
        <v>374</v>
      </c>
      <c r="CE32" s="189"/>
      <c r="CF32" s="189"/>
      <c r="CG32" s="190"/>
      <c r="CH32" s="190"/>
      <c r="CI32" s="190" t="s">
        <v>374</v>
      </c>
      <c r="CJ32" s="190" t="s">
        <v>374</v>
      </c>
      <c r="CK32" s="190"/>
      <c r="CL32" s="190" t="s">
        <v>374</v>
      </c>
      <c r="CM32" s="190" t="s">
        <v>374</v>
      </c>
      <c r="CN32" s="190"/>
      <c r="CO32" s="190"/>
      <c r="CP32" s="190" t="s">
        <v>374</v>
      </c>
      <c r="CQ32" s="190" t="s">
        <v>374</v>
      </c>
      <c r="CR32" s="189"/>
      <c r="CT32" s="190" t="s">
        <v>374</v>
      </c>
      <c r="CV32" s="192"/>
      <c r="CW32" s="192"/>
      <c r="CX32" s="23"/>
      <c r="CY32" s="23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</row>
    <row r="33" spans="1:223" s="191" customFormat="1" ht="12.75">
      <c r="A33" s="181"/>
      <c r="B33" s="47"/>
      <c r="C33" s="190"/>
      <c r="D33" s="190"/>
      <c r="E33" s="189"/>
      <c r="F33" s="190"/>
      <c r="G33" s="190" t="s">
        <v>448</v>
      </c>
      <c r="H33" s="190"/>
      <c r="I33" s="190"/>
      <c r="J33" s="190" t="s">
        <v>471</v>
      </c>
      <c r="K33" s="190"/>
      <c r="L33" s="190"/>
      <c r="M33" s="190"/>
      <c r="N33" s="190"/>
      <c r="O33" s="190"/>
      <c r="P33" s="190"/>
      <c r="Q33" s="189"/>
      <c r="R33" s="190"/>
      <c r="S33" s="189"/>
      <c r="T33" s="190"/>
      <c r="U33" s="189"/>
      <c r="V33" s="189"/>
      <c r="W33" s="190"/>
      <c r="X33" s="190"/>
      <c r="Y33" s="190"/>
      <c r="Z33" s="190" t="s">
        <v>450</v>
      </c>
      <c r="AA33" s="190"/>
      <c r="AB33" s="190"/>
      <c r="AC33" s="190"/>
      <c r="AD33" s="190"/>
      <c r="AE33" s="190"/>
      <c r="AF33" s="190"/>
      <c r="AG33" s="190"/>
      <c r="AH33" s="190"/>
      <c r="AI33" s="190" t="s">
        <v>453</v>
      </c>
      <c r="AJ33" s="189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89"/>
      <c r="AV33" s="190"/>
      <c r="AW33" s="190"/>
      <c r="AX33" s="190"/>
      <c r="AY33" s="190"/>
      <c r="AZ33" s="168" t="s">
        <v>429</v>
      </c>
      <c r="BA33" s="190"/>
      <c r="BB33" s="190"/>
      <c r="BC33" s="190"/>
      <c r="BD33" s="190"/>
      <c r="BE33" s="190"/>
      <c r="BF33" s="190"/>
      <c r="BG33" s="190"/>
      <c r="BH33" s="190"/>
      <c r="BI33" s="189"/>
      <c r="BJ33" s="190"/>
      <c r="BK33" s="190"/>
      <c r="BL33" s="190" t="s">
        <v>381</v>
      </c>
      <c r="BM33" s="190"/>
      <c r="BN33" s="190"/>
      <c r="BO33" s="190"/>
      <c r="BP33" s="190" t="s">
        <v>381</v>
      </c>
      <c r="BQ33" s="190"/>
      <c r="BR33" s="190"/>
      <c r="BS33" s="190" t="s">
        <v>375</v>
      </c>
      <c r="BT33" s="190"/>
      <c r="BU33" s="190"/>
      <c r="BV33" s="190"/>
      <c r="BW33" s="190" t="s">
        <v>381</v>
      </c>
      <c r="BX33" s="190" t="s">
        <v>372</v>
      </c>
      <c r="BY33" s="168" t="s">
        <v>501</v>
      </c>
      <c r="BZ33" s="190"/>
      <c r="CA33" s="190"/>
      <c r="CB33" s="190"/>
      <c r="CC33" s="190"/>
      <c r="CD33" s="190" t="s">
        <v>381</v>
      </c>
      <c r="CE33" s="190"/>
      <c r="CF33" s="190"/>
      <c r="CG33" s="190"/>
      <c r="CI33" s="190" t="s">
        <v>381</v>
      </c>
      <c r="CJ33" s="190" t="s">
        <v>381</v>
      </c>
      <c r="CK33" s="190"/>
      <c r="CL33" s="190" t="s">
        <v>381</v>
      </c>
      <c r="CM33" s="190" t="s">
        <v>381</v>
      </c>
      <c r="CN33" s="190"/>
      <c r="CO33" s="190"/>
      <c r="CP33" s="190" t="s">
        <v>381</v>
      </c>
      <c r="CQ33" s="190" t="s">
        <v>381</v>
      </c>
      <c r="CR33" s="190"/>
      <c r="CT33" s="190" t="s">
        <v>381</v>
      </c>
      <c r="CV33" s="192"/>
      <c r="CW33" s="192"/>
      <c r="CX33" s="23"/>
      <c r="CY33" s="23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</row>
    <row r="34" spans="1:223" s="191" customFormat="1" ht="12.75">
      <c r="A34" s="181"/>
      <c r="B34" s="193"/>
      <c r="C34" s="194"/>
      <c r="D34" s="190"/>
      <c r="E34" s="194"/>
      <c r="F34" s="190"/>
      <c r="G34" s="190"/>
      <c r="H34" s="190"/>
      <c r="I34" s="190"/>
      <c r="J34" s="190" t="s">
        <v>470</v>
      </c>
      <c r="K34" s="194"/>
      <c r="L34" s="190"/>
      <c r="M34" s="190"/>
      <c r="N34" s="190"/>
      <c r="O34" s="190"/>
      <c r="P34" s="190"/>
      <c r="Q34" s="194"/>
      <c r="R34" s="190"/>
      <c r="S34" s="194"/>
      <c r="T34" s="190"/>
      <c r="U34" s="194"/>
      <c r="V34" s="194"/>
      <c r="W34" s="190"/>
      <c r="X34" s="190"/>
      <c r="Y34" s="190"/>
      <c r="Z34" s="189"/>
      <c r="AA34" s="190"/>
      <c r="AB34" s="190"/>
      <c r="AC34" s="190"/>
      <c r="AD34" s="190"/>
      <c r="AE34" s="190"/>
      <c r="AF34" s="190"/>
      <c r="AG34" s="190"/>
      <c r="AH34" s="190"/>
      <c r="AI34" s="190" t="s">
        <v>452</v>
      </c>
      <c r="AJ34" s="194"/>
      <c r="AK34" s="190"/>
      <c r="AL34" s="190"/>
      <c r="AM34" s="190"/>
      <c r="AN34" s="194"/>
      <c r="AO34" s="190"/>
      <c r="AP34" s="194"/>
      <c r="AQ34" s="190"/>
      <c r="AR34" s="190"/>
      <c r="AS34" s="190"/>
      <c r="AT34" s="190"/>
      <c r="AU34" s="194"/>
      <c r="AV34" s="190"/>
      <c r="AW34" s="194"/>
      <c r="AX34" s="190"/>
      <c r="AY34" s="190"/>
      <c r="AZ34" s="194"/>
      <c r="BA34" s="190"/>
      <c r="BB34" s="190"/>
      <c r="BC34" s="190"/>
      <c r="BD34" s="190"/>
      <c r="BE34" s="190"/>
      <c r="BF34" s="190"/>
      <c r="BG34" s="190"/>
      <c r="BH34" s="194"/>
      <c r="BI34" s="189"/>
      <c r="BJ34" s="194"/>
      <c r="BK34" s="190"/>
      <c r="BM34" s="194"/>
      <c r="BN34" s="194"/>
      <c r="BO34" s="190"/>
      <c r="BP34" s="190"/>
      <c r="BQ34" s="190"/>
      <c r="BR34" s="190"/>
      <c r="BS34" s="190" t="s">
        <v>380</v>
      </c>
      <c r="BT34" s="190"/>
      <c r="BU34" s="190"/>
      <c r="BV34" s="190"/>
      <c r="BW34" s="190"/>
      <c r="BX34" s="190" t="s">
        <v>382</v>
      </c>
      <c r="BY34" s="194"/>
      <c r="BZ34" s="190"/>
      <c r="CA34" s="190"/>
      <c r="CB34" s="190"/>
      <c r="CC34" s="190"/>
      <c r="CD34" s="190"/>
      <c r="CE34" s="194"/>
      <c r="CF34" s="194"/>
      <c r="CG34" s="190"/>
      <c r="CJ34" s="190"/>
      <c r="CK34" s="190"/>
      <c r="CL34" s="190"/>
      <c r="CM34" s="190"/>
      <c r="CN34" s="190"/>
      <c r="CO34" s="190"/>
      <c r="CP34" s="190"/>
      <c r="CR34" s="194"/>
      <c r="CT34" s="190"/>
      <c r="CV34" s="192"/>
      <c r="CW34" s="192"/>
      <c r="CX34" s="23"/>
      <c r="CY34" s="23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</row>
    <row r="35" spans="1:105" ht="12.75">
      <c r="A35" s="22"/>
      <c r="D35" s="168"/>
      <c r="E35" s="168"/>
      <c r="F35" s="168"/>
      <c r="G35" s="168"/>
      <c r="H35" s="168"/>
      <c r="I35" s="168"/>
      <c r="J35" s="168"/>
      <c r="L35" s="168"/>
      <c r="P35" s="168"/>
      <c r="Q35" s="195"/>
      <c r="R35" s="168"/>
      <c r="T35" s="168"/>
      <c r="U35" s="194"/>
      <c r="V35" s="194"/>
      <c r="W35" s="33"/>
      <c r="Z35" s="34"/>
      <c r="AA35" s="50"/>
      <c r="AB35" s="34"/>
      <c r="AD35" s="34"/>
      <c r="AE35" s="34"/>
      <c r="AH35" s="22"/>
      <c r="AI35" s="23"/>
      <c r="AJ35" s="23"/>
      <c r="AL35" s="23"/>
      <c r="AN35" s="23"/>
      <c r="AR35" s="23"/>
      <c r="AS35" s="22"/>
      <c r="AU35" s="23"/>
      <c r="AW35" s="23"/>
      <c r="AY35" s="23"/>
      <c r="BC35" s="23"/>
      <c r="BE35" s="23"/>
      <c r="BG35" s="23"/>
      <c r="BI35" s="44"/>
      <c r="BK35" s="23"/>
      <c r="BO35" s="23"/>
      <c r="BP35" s="23"/>
      <c r="BQ35" s="23"/>
      <c r="BR35" s="23"/>
      <c r="BS35" s="23"/>
      <c r="BT35" s="50"/>
      <c r="BU35" s="50"/>
      <c r="BV35" s="50"/>
      <c r="BW35" s="168"/>
      <c r="BX35" s="168"/>
      <c r="BY35" s="23"/>
      <c r="BZ35" s="50"/>
      <c r="CA35" s="168"/>
      <c r="CB35" s="50"/>
      <c r="CC35" s="50"/>
      <c r="CD35" s="23"/>
      <c r="CE35" s="23"/>
      <c r="CF35" s="50"/>
      <c r="CG35" s="22"/>
      <c r="CH35" s="23"/>
      <c r="CI35" s="168"/>
      <c r="CJ35" s="23"/>
      <c r="CL35" s="22"/>
      <c r="CM35" s="23"/>
      <c r="CN35" s="23"/>
      <c r="CO35" s="23"/>
      <c r="CP35" s="168"/>
      <c r="CQ35" s="23"/>
      <c r="CR35" s="50"/>
      <c r="CT35" s="23"/>
      <c r="CX35" s="9"/>
      <c r="CY35" s="9"/>
      <c r="CZ35" s="23"/>
      <c r="DA35" s="23"/>
    </row>
    <row r="36" spans="1:105" ht="12.75">
      <c r="A36" s="23"/>
      <c r="C36" s="32"/>
      <c r="E36" s="33"/>
      <c r="K36" s="34"/>
      <c r="M36" s="34"/>
      <c r="N36" s="50"/>
      <c r="O36" s="50"/>
      <c r="Q36" s="34"/>
      <c r="S36" s="34"/>
      <c r="W36" s="34"/>
      <c r="X36" s="50"/>
      <c r="Y36" s="50"/>
      <c r="Z36" s="34"/>
      <c r="AA36" s="50"/>
      <c r="AB36" s="34"/>
      <c r="AC36" s="50"/>
      <c r="AD36" s="34"/>
      <c r="AE36" s="34"/>
      <c r="AF36" s="50"/>
      <c r="AG36" s="23"/>
      <c r="AH36" s="23"/>
      <c r="AI36" s="23"/>
      <c r="AJ36" s="23"/>
      <c r="AK36" s="50"/>
      <c r="AL36" s="23"/>
      <c r="AM36" s="50"/>
      <c r="AN36" s="23"/>
      <c r="AO36" s="50"/>
      <c r="AP36" s="23"/>
      <c r="AQ36" s="50"/>
      <c r="AR36" s="23"/>
      <c r="AS36" s="23"/>
      <c r="AT36" s="50"/>
      <c r="AU36" s="23"/>
      <c r="AV36" s="50"/>
      <c r="AW36" s="23"/>
      <c r="AX36" s="50"/>
      <c r="AY36" s="23"/>
      <c r="BA36" s="50"/>
      <c r="BB36" s="23"/>
      <c r="BC36" s="23"/>
      <c r="BD36" s="50"/>
      <c r="BE36" s="23"/>
      <c r="BF36" s="50"/>
      <c r="BG36" s="23"/>
      <c r="BH36" s="50"/>
      <c r="BI36" s="27"/>
      <c r="BJ36" s="50"/>
      <c r="BK36" s="23"/>
      <c r="BL36" s="23"/>
      <c r="BM36" s="50"/>
      <c r="BN36" s="50"/>
      <c r="BO36" s="23"/>
      <c r="BP36" s="23"/>
      <c r="BQ36" s="23"/>
      <c r="BR36" s="23"/>
      <c r="BS36" s="23"/>
      <c r="BT36" s="50"/>
      <c r="BU36" s="50"/>
      <c r="BV36" s="50"/>
      <c r="BX36" s="168"/>
      <c r="BY36" s="23"/>
      <c r="BZ36" s="50"/>
      <c r="CA36" s="168"/>
      <c r="CB36" s="50"/>
      <c r="CC36" s="50"/>
      <c r="CD36" s="23"/>
      <c r="CE36" s="23"/>
      <c r="CF36" s="50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50"/>
      <c r="CS36" s="23"/>
      <c r="CT36" s="23"/>
      <c r="CV36" s="23"/>
      <c r="CW36" s="23"/>
      <c r="CX36" s="9"/>
      <c r="CY36" s="9"/>
      <c r="CZ36" s="23"/>
      <c r="DA36" s="23"/>
    </row>
    <row r="37" spans="3:105" ht="12.75">
      <c r="C37" s="63" t="s">
        <v>144</v>
      </c>
      <c r="E37" s="33"/>
      <c r="I37" s="63" t="s">
        <v>144</v>
      </c>
      <c r="K37" s="32"/>
      <c r="M37" s="34"/>
      <c r="N37" s="50"/>
      <c r="O37" s="63" t="s">
        <v>144</v>
      </c>
      <c r="S37" s="34"/>
      <c r="U37" s="63" t="s">
        <v>144</v>
      </c>
      <c r="V37" s="63"/>
      <c r="W37" s="33"/>
      <c r="Z37" s="32"/>
      <c r="AA37" s="63" t="s">
        <v>144</v>
      </c>
      <c r="AB37" s="34"/>
      <c r="AD37" s="34"/>
      <c r="AG37" s="63" t="s">
        <v>144</v>
      </c>
      <c r="AH37" s="32"/>
      <c r="AI37" s="32"/>
      <c r="AJ37" s="34"/>
      <c r="AM37" s="63" t="s">
        <v>144</v>
      </c>
      <c r="AN37" s="34"/>
      <c r="AP37" s="33"/>
      <c r="AR37" s="34"/>
      <c r="AS37" s="63" t="s">
        <v>144</v>
      </c>
      <c r="AU37" s="34"/>
      <c r="AW37" s="34"/>
      <c r="AY37" s="63" t="s">
        <v>144</v>
      </c>
      <c r="BB37" s="33"/>
      <c r="BC37" s="32"/>
      <c r="BE37" s="63" t="s">
        <v>144</v>
      </c>
      <c r="BI37" s="45"/>
      <c r="BK37" s="63" t="s">
        <v>144</v>
      </c>
      <c r="BL37" s="33"/>
      <c r="BO37" s="32"/>
      <c r="BP37" s="34"/>
      <c r="BQ37" s="63" t="s">
        <v>144</v>
      </c>
      <c r="BR37" s="34"/>
      <c r="BS37" s="34"/>
      <c r="BT37" s="50"/>
      <c r="BV37" s="63"/>
      <c r="BW37" s="63" t="s">
        <v>144</v>
      </c>
      <c r="BX37" s="32"/>
      <c r="BY37" s="32"/>
      <c r="BZ37" s="33"/>
      <c r="CA37" s="34"/>
      <c r="CB37" s="34"/>
      <c r="CC37" s="63" t="s">
        <v>144</v>
      </c>
      <c r="CD37" s="32"/>
      <c r="CE37" s="34"/>
      <c r="CF37" s="63"/>
      <c r="CG37" s="33"/>
      <c r="CH37" s="34"/>
      <c r="CI37" s="63" t="s">
        <v>144</v>
      </c>
      <c r="CO37" s="63" t="s">
        <v>144</v>
      </c>
      <c r="CP37" s="33"/>
      <c r="CQ37" s="32"/>
      <c r="CR37" s="63"/>
      <c r="CS37" s="34"/>
      <c r="CT37" s="34"/>
      <c r="CU37" s="32"/>
      <c r="CV37" s="33"/>
      <c r="CW37" s="34"/>
      <c r="CX37" s="9"/>
      <c r="CY37" s="9"/>
      <c r="CZ37" s="34"/>
      <c r="DA37" s="23"/>
    </row>
    <row r="38" spans="3:105" ht="12.75">
      <c r="C38" s="50" t="s">
        <v>447</v>
      </c>
      <c r="D38" s="50"/>
      <c r="E38" s="34"/>
      <c r="F38" s="50"/>
      <c r="G38" s="50"/>
      <c r="H38" s="50"/>
      <c r="I38" s="50" t="s">
        <v>447</v>
      </c>
      <c r="K38" s="34"/>
      <c r="L38" s="50"/>
      <c r="M38" s="34"/>
      <c r="N38" s="50"/>
      <c r="O38" s="50" t="s">
        <v>447</v>
      </c>
      <c r="P38" s="50"/>
      <c r="R38" s="50"/>
      <c r="S38" s="34"/>
      <c r="T38" s="50"/>
      <c r="U38" s="50" t="s">
        <v>447</v>
      </c>
      <c r="V38" s="50"/>
      <c r="W38" s="34"/>
      <c r="Y38" s="50"/>
      <c r="Z38" s="34"/>
      <c r="AA38" s="50" t="s">
        <v>447</v>
      </c>
      <c r="AB38" s="34"/>
      <c r="AC38" s="50"/>
      <c r="AD38" s="34"/>
      <c r="AF38" s="50"/>
      <c r="AG38" s="50" t="s">
        <v>447</v>
      </c>
      <c r="AH38" s="34"/>
      <c r="AI38" s="34"/>
      <c r="AJ38" s="34"/>
      <c r="AK38" s="50"/>
      <c r="AM38" s="50" t="s">
        <v>447</v>
      </c>
      <c r="AN38" s="34"/>
      <c r="AO38" s="50"/>
      <c r="AP38" s="34"/>
      <c r="AQ38" s="50"/>
      <c r="AR38" s="34"/>
      <c r="AS38" s="50" t="s">
        <v>447</v>
      </c>
      <c r="AT38" s="50"/>
      <c r="AU38" s="34"/>
      <c r="AV38" s="50"/>
      <c r="AW38" s="34"/>
      <c r="AX38" s="50"/>
      <c r="AY38" s="50" t="s">
        <v>447</v>
      </c>
      <c r="BA38" s="50"/>
      <c r="BB38" s="34"/>
      <c r="BC38" s="34"/>
      <c r="BD38" s="50"/>
      <c r="BE38" s="50" t="s">
        <v>447</v>
      </c>
      <c r="BF38" s="50"/>
      <c r="BH38" s="50"/>
      <c r="BI38" s="35"/>
      <c r="BJ38" s="50"/>
      <c r="BK38" s="50" t="s">
        <v>447</v>
      </c>
      <c r="BL38" s="34"/>
      <c r="BM38" s="50"/>
      <c r="BO38" s="34"/>
      <c r="BP38" s="34"/>
      <c r="BQ38" s="50" t="s">
        <v>447</v>
      </c>
      <c r="BR38" s="34"/>
      <c r="BS38" s="34"/>
      <c r="BT38" s="50"/>
      <c r="BV38" s="50"/>
      <c r="BW38" s="50" t="s">
        <v>447</v>
      </c>
      <c r="BX38" s="34"/>
      <c r="BY38" s="34"/>
      <c r="BZ38" s="34"/>
      <c r="CA38" s="34"/>
      <c r="CB38" s="34"/>
      <c r="CC38" s="50" t="s">
        <v>447</v>
      </c>
      <c r="CD38" s="34"/>
      <c r="CE38" s="34"/>
      <c r="CF38" s="50"/>
      <c r="CG38" s="34"/>
      <c r="CH38" s="34"/>
      <c r="CI38" s="50" t="s">
        <v>447</v>
      </c>
      <c r="CO38" s="50" t="s">
        <v>447</v>
      </c>
      <c r="CP38" s="34"/>
      <c r="CQ38" s="34"/>
      <c r="CR38" s="50"/>
      <c r="CS38" s="34"/>
      <c r="CT38" s="34"/>
      <c r="CU38" s="34"/>
      <c r="CV38" s="34"/>
      <c r="CW38" s="34"/>
      <c r="CX38" s="9"/>
      <c r="CY38" s="9"/>
      <c r="CZ38" s="34"/>
      <c r="DA38" s="23"/>
    </row>
    <row r="39" spans="3:105" ht="12.75">
      <c r="C39" s="50" t="s">
        <v>371</v>
      </c>
      <c r="E39" s="33"/>
      <c r="I39" s="50" t="s">
        <v>371</v>
      </c>
      <c r="K39" s="34"/>
      <c r="M39" s="34"/>
      <c r="N39" s="50"/>
      <c r="O39" s="50" t="s">
        <v>371</v>
      </c>
      <c r="S39" s="34"/>
      <c r="U39" s="50" t="s">
        <v>371</v>
      </c>
      <c r="V39" s="50"/>
      <c r="W39" s="33"/>
      <c r="Z39" s="34"/>
      <c r="AA39" s="50" t="s">
        <v>371</v>
      </c>
      <c r="AB39" s="34"/>
      <c r="AD39" s="34"/>
      <c r="AG39" s="50" t="s">
        <v>371</v>
      </c>
      <c r="AH39" s="34"/>
      <c r="AI39" s="34"/>
      <c r="AJ39" s="34"/>
      <c r="AM39" s="50" t="s">
        <v>371</v>
      </c>
      <c r="AN39" s="34"/>
      <c r="AP39" s="33"/>
      <c r="AR39" s="34"/>
      <c r="AS39" s="50" t="s">
        <v>371</v>
      </c>
      <c r="AU39" s="34"/>
      <c r="AW39" s="34"/>
      <c r="AY39" s="50" t="s">
        <v>371</v>
      </c>
      <c r="BB39" s="33"/>
      <c r="BC39" s="34"/>
      <c r="BE39" s="50" t="s">
        <v>371</v>
      </c>
      <c r="BI39" s="35"/>
      <c r="BK39" s="50" t="s">
        <v>371</v>
      </c>
      <c r="BL39" s="33"/>
      <c r="BO39" s="34"/>
      <c r="BP39" s="34"/>
      <c r="BQ39" s="50" t="s">
        <v>371</v>
      </c>
      <c r="BR39" s="34"/>
      <c r="BS39" s="34"/>
      <c r="BT39" s="50"/>
      <c r="BV39" s="50"/>
      <c r="BW39" s="50" t="s">
        <v>371</v>
      </c>
      <c r="BX39" s="34"/>
      <c r="BY39" s="34"/>
      <c r="BZ39" s="33"/>
      <c r="CA39" s="34"/>
      <c r="CB39" s="34"/>
      <c r="CC39" s="50" t="s">
        <v>371</v>
      </c>
      <c r="CD39" s="34"/>
      <c r="CE39" s="34"/>
      <c r="CF39" s="50"/>
      <c r="CG39" s="33"/>
      <c r="CH39" s="34"/>
      <c r="CI39" s="50" t="s">
        <v>371</v>
      </c>
      <c r="CO39" s="50" t="s">
        <v>371</v>
      </c>
      <c r="CP39" s="33"/>
      <c r="CQ39" s="34"/>
      <c r="CR39" s="50"/>
      <c r="CS39" s="34"/>
      <c r="CT39" s="34"/>
      <c r="CU39" s="34"/>
      <c r="CV39" s="33"/>
      <c r="CW39" s="34"/>
      <c r="CX39" s="9"/>
      <c r="CY39" s="9"/>
      <c r="CZ39" s="34"/>
      <c r="DA39" s="23"/>
    </row>
    <row r="40" spans="3:105" ht="12.75">
      <c r="C40" s="50" t="s">
        <v>353</v>
      </c>
      <c r="E40" s="33"/>
      <c r="I40" s="50" t="s">
        <v>353</v>
      </c>
      <c r="K40" s="34"/>
      <c r="M40" s="34"/>
      <c r="N40" s="50"/>
      <c r="O40" s="50" t="s">
        <v>353</v>
      </c>
      <c r="S40" s="34"/>
      <c r="U40" s="50" t="s">
        <v>353</v>
      </c>
      <c r="V40" s="50"/>
      <c r="W40" s="33"/>
      <c r="Z40" s="34"/>
      <c r="AA40" s="50" t="s">
        <v>353</v>
      </c>
      <c r="AB40" s="34"/>
      <c r="AD40" s="34"/>
      <c r="AG40" s="50" t="s">
        <v>353</v>
      </c>
      <c r="AH40" s="34"/>
      <c r="AI40" s="34"/>
      <c r="AJ40" s="34"/>
      <c r="AM40" s="50" t="s">
        <v>353</v>
      </c>
      <c r="AN40" s="34"/>
      <c r="AP40" s="33"/>
      <c r="AR40" s="34"/>
      <c r="AS40" s="50" t="s">
        <v>353</v>
      </c>
      <c r="AU40" s="34"/>
      <c r="AW40" s="34"/>
      <c r="AY40" s="50" t="s">
        <v>353</v>
      </c>
      <c r="BB40" s="33"/>
      <c r="BC40" s="34"/>
      <c r="BE40" s="50" t="s">
        <v>353</v>
      </c>
      <c r="BI40" s="35"/>
      <c r="BK40" s="50" t="s">
        <v>353</v>
      </c>
      <c r="BL40" s="33"/>
      <c r="BO40" s="34"/>
      <c r="BP40" s="34"/>
      <c r="BQ40" s="50" t="s">
        <v>353</v>
      </c>
      <c r="BR40" s="34"/>
      <c r="BS40" s="34"/>
      <c r="BT40" s="50"/>
      <c r="BV40" s="50"/>
      <c r="BW40" s="50" t="s">
        <v>353</v>
      </c>
      <c r="BX40" s="34"/>
      <c r="BY40" s="34"/>
      <c r="BZ40" s="33"/>
      <c r="CA40" s="34"/>
      <c r="CB40" s="34"/>
      <c r="CC40" s="50" t="s">
        <v>353</v>
      </c>
      <c r="CD40" s="34"/>
      <c r="CE40" s="34"/>
      <c r="CF40" s="50"/>
      <c r="CG40" s="33"/>
      <c r="CH40" s="34"/>
      <c r="CI40" s="50" t="s">
        <v>353</v>
      </c>
      <c r="CO40" s="50" t="s">
        <v>353</v>
      </c>
      <c r="CP40" s="33"/>
      <c r="CQ40" s="34"/>
      <c r="CR40" s="50"/>
      <c r="CS40" s="34"/>
      <c r="CT40" s="34"/>
      <c r="CU40" s="34"/>
      <c r="CV40" s="33"/>
      <c r="CW40" s="34"/>
      <c r="CX40" s="9"/>
      <c r="CY40" s="9"/>
      <c r="CZ40" s="34"/>
      <c r="DA40" s="23"/>
    </row>
    <row r="41" spans="3:105" ht="12.75">
      <c r="C41" s="50" t="s">
        <v>367</v>
      </c>
      <c r="E41" s="33"/>
      <c r="I41" s="50" t="s">
        <v>367</v>
      </c>
      <c r="K41" s="34"/>
      <c r="M41" s="34"/>
      <c r="N41" s="50"/>
      <c r="O41" s="50" t="s">
        <v>367</v>
      </c>
      <c r="S41" s="34"/>
      <c r="U41" s="50" t="s">
        <v>367</v>
      </c>
      <c r="V41" s="50"/>
      <c r="W41" s="33"/>
      <c r="Z41" s="34"/>
      <c r="AA41" s="50" t="s">
        <v>367</v>
      </c>
      <c r="AB41" s="34"/>
      <c r="AD41" s="34"/>
      <c r="AG41" s="50" t="s">
        <v>367</v>
      </c>
      <c r="AH41" s="34"/>
      <c r="AI41" s="34"/>
      <c r="AJ41" s="34"/>
      <c r="AM41" s="50" t="s">
        <v>367</v>
      </c>
      <c r="AN41" s="34"/>
      <c r="AP41" s="33"/>
      <c r="AR41" s="34"/>
      <c r="AS41" s="50" t="s">
        <v>367</v>
      </c>
      <c r="AU41" s="34"/>
      <c r="AW41" s="34"/>
      <c r="AY41" s="50" t="s">
        <v>367</v>
      </c>
      <c r="BB41" s="33"/>
      <c r="BC41" s="34"/>
      <c r="BE41" s="50" t="s">
        <v>367</v>
      </c>
      <c r="BI41" s="35"/>
      <c r="BK41" s="50" t="s">
        <v>367</v>
      </c>
      <c r="BL41" s="33"/>
      <c r="BO41" s="34"/>
      <c r="BP41" s="34"/>
      <c r="BQ41" s="50" t="s">
        <v>367</v>
      </c>
      <c r="BR41" s="34"/>
      <c r="BS41" s="34"/>
      <c r="BT41" s="50"/>
      <c r="BV41" s="50"/>
      <c r="BW41" s="50" t="s">
        <v>367</v>
      </c>
      <c r="BX41" s="34"/>
      <c r="BY41" s="34"/>
      <c r="BZ41" s="33"/>
      <c r="CA41" s="34"/>
      <c r="CB41" s="34"/>
      <c r="CC41" s="50" t="s">
        <v>367</v>
      </c>
      <c r="CD41" s="34"/>
      <c r="CE41" s="34"/>
      <c r="CF41" s="50"/>
      <c r="CG41" s="33"/>
      <c r="CH41" s="34"/>
      <c r="CI41" s="50" t="s">
        <v>367</v>
      </c>
      <c r="CO41" s="50" t="s">
        <v>367</v>
      </c>
      <c r="CP41" s="33"/>
      <c r="CQ41" s="34"/>
      <c r="CR41" s="50"/>
      <c r="CS41" s="34"/>
      <c r="CT41" s="34"/>
      <c r="CU41" s="34"/>
      <c r="CV41" s="33"/>
      <c r="CW41" s="34"/>
      <c r="CX41" s="9"/>
      <c r="CY41" s="9"/>
      <c r="CZ41" s="34"/>
      <c r="DA41" s="23"/>
    </row>
    <row r="42" spans="3:105" ht="12.75">
      <c r="C42" s="50" t="s">
        <v>368</v>
      </c>
      <c r="E42" s="33"/>
      <c r="I42" s="50" t="s">
        <v>368</v>
      </c>
      <c r="K42" s="34"/>
      <c r="M42" s="34"/>
      <c r="N42" s="50"/>
      <c r="O42" s="50" t="s">
        <v>368</v>
      </c>
      <c r="S42" s="34"/>
      <c r="U42" s="50" t="s">
        <v>368</v>
      </c>
      <c r="V42" s="50"/>
      <c r="W42" s="33"/>
      <c r="Z42" s="34"/>
      <c r="AA42" s="50" t="s">
        <v>368</v>
      </c>
      <c r="AB42" s="34"/>
      <c r="AD42" s="34"/>
      <c r="AG42" s="50" t="s">
        <v>368</v>
      </c>
      <c r="AH42" s="34"/>
      <c r="AI42" s="34"/>
      <c r="AJ42" s="34"/>
      <c r="AM42" s="50" t="s">
        <v>368</v>
      </c>
      <c r="AN42" s="34"/>
      <c r="AP42" s="33"/>
      <c r="AR42" s="34"/>
      <c r="AS42" s="50" t="s">
        <v>368</v>
      </c>
      <c r="AU42" s="34"/>
      <c r="AW42" s="34"/>
      <c r="AY42" s="50" t="s">
        <v>368</v>
      </c>
      <c r="BB42" s="33"/>
      <c r="BC42" s="34"/>
      <c r="BE42" s="50" t="s">
        <v>368</v>
      </c>
      <c r="BI42" s="35"/>
      <c r="BK42" s="50" t="s">
        <v>368</v>
      </c>
      <c r="BL42" s="33"/>
      <c r="BO42" s="34"/>
      <c r="BP42" s="34"/>
      <c r="BQ42" s="50" t="s">
        <v>368</v>
      </c>
      <c r="BR42" s="34"/>
      <c r="BS42" s="34"/>
      <c r="BT42" s="50"/>
      <c r="BV42" s="50"/>
      <c r="BW42" s="50" t="s">
        <v>368</v>
      </c>
      <c r="BX42" s="34"/>
      <c r="BY42" s="34"/>
      <c r="BZ42" s="33"/>
      <c r="CA42" s="34"/>
      <c r="CB42" s="34"/>
      <c r="CC42" s="50" t="s">
        <v>368</v>
      </c>
      <c r="CD42" s="34"/>
      <c r="CE42" s="34"/>
      <c r="CF42" s="50"/>
      <c r="CG42" s="33"/>
      <c r="CH42" s="34"/>
      <c r="CI42" s="50" t="s">
        <v>368</v>
      </c>
      <c r="CO42" s="50" t="s">
        <v>368</v>
      </c>
      <c r="CP42" s="33"/>
      <c r="CQ42" s="34"/>
      <c r="CR42" s="50"/>
      <c r="CS42" s="34"/>
      <c r="CT42" s="34"/>
      <c r="CU42" s="34"/>
      <c r="CV42" s="33"/>
      <c r="CW42" s="34"/>
      <c r="CX42" s="9"/>
      <c r="CY42" s="9"/>
      <c r="CZ42" s="34"/>
      <c r="DA42" s="23"/>
    </row>
    <row r="43" spans="3:105" ht="12.75">
      <c r="C43" s="50" t="s">
        <v>420</v>
      </c>
      <c r="E43" s="33"/>
      <c r="I43" s="50" t="s">
        <v>420</v>
      </c>
      <c r="K43" s="34"/>
      <c r="M43" s="34"/>
      <c r="N43" s="50"/>
      <c r="O43" s="50" t="s">
        <v>420</v>
      </c>
      <c r="S43" s="34"/>
      <c r="U43" s="50" t="s">
        <v>420</v>
      </c>
      <c r="V43" s="50"/>
      <c r="W43" s="33"/>
      <c r="Z43" s="34"/>
      <c r="AA43" s="50" t="s">
        <v>420</v>
      </c>
      <c r="AB43" s="34"/>
      <c r="AD43" s="34"/>
      <c r="AG43" s="50" t="s">
        <v>420</v>
      </c>
      <c r="AH43" s="34"/>
      <c r="AI43" s="34"/>
      <c r="AJ43" s="34"/>
      <c r="AM43" s="50" t="s">
        <v>420</v>
      </c>
      <c r="AN43" s="34"/>
      <c r="AP43" s="33"/>
      <c r="AR43" s="34"/>
      <c r="AS43" s="50" t="s">
        <v>420</v>
      </c>
      <c r="AU43" s="34"/>
      <c r="AW43" s="34"/>
      <c r="AY43" s="50" t="s">
        <v>420</v>
      </c>
      <c r="BB43" s="33"/>
      <c r="BC43" s="34"/>
      <c r="BE43" s="50" t="s">
        <v>420</v>
      </c>
      <c r="BI43" s="35"/>
      <c r="BK43" s="50" t="s">
        <v>420</v>
      </c>
      <c r="BL43" s="33"/>
      <c r="BO43" s="34"/>
      <c r="BP43" s="34"/>
      <c r="BQ43" s="50" t="s">
        <v>420</v>
      </c>
      <c r="BR43" s="34"/>
      <c r="BS43" s="34"/>
      <c r="BT43" s="50"/>
      <c r="BV43" s="50"/>
      <c r="BW43" s="50" t="s">
        <v>420</v>
      </c>
      <c r="BX43" s="34"/>
      <c r="BY43" s="34"/>
      <c r="BZ43" s="33"/>
      <c r="CA43" s="34"/>
      <c r="CB43" s="34"/>
      <c r="CC43" s="50" t="s">
        <v>420</v>
      </c>
      <c r="CD43" s="34"/>
      <c r="CE43" s="34"/>
      <c r="CF43" s="50"/>
      <c r="CG43" s="33"/>
      <c r="CH43" s="34"/>
      <c r="CI43" s="50" t="s">
        <v>420</v>
      </c>
      <c r="CO43" s="50" t="s">
        <v>420</v>
      </c>
      <c r="CP43" s="33"/>
      <c r="CQ43" s="34"/>
      <c r="CR43" s="50"/>
      <c r="CS43" s="34"/>
      <c r="CT43" s="34"/>
      <c r="CU43" s="34"/>
      <c r="CV43" s="33"/>
      <c r="CW43" s="34"/>
      <c r="CX43" s="9"/>
      <c r="CY43" s="9"/>
      <c r="CZ43" s="34"/>
      <c r="DA43" s="23"/>
    </row>
    <row r="44" spans="3:105" ht="12.75">
      <c r="C44" s="50" t="s">
        <v>421</v>
      </c>
      <c r="E44" s="33"/>
      <c r="I44" s="50" t="s">
        <v>421</v>
      </c>
      <c r="K44" s="34"/>
      <c r="M44" s="34"/>
      <c r="N44" s="50"/>
      <c r="O44" s="50" t="s">
        <v>421</v>
      </c>
      <c r="S44" s="34"/>
      <c r="U44" s="50" t="s">
        <v>421</v>
      </c>
      <c r="V44" s="50"/>
      <c r="W44" s="33"/>
      <c r="Z44" s="34"/>
      <c r="AA44" s="50" t="s">
        <v>421</v>
      </c>
      <c r="AB44" s="34"/>
      <c r="AD44" s="34"/>
      <c r="AG44" s="50" t="s">
        <v>421</v>
      </c>
      <c r="AH44" s="34"/>
      <c r="AI44" s="34"/>
      <c r="AJ44" s="34"/>
      <c r="AM44" s="50" t="s">
        <v>421</v>
      </c>
      <c r="AN44" s="34"/>
      <c r="AP44" s="33"/>
      <c r="AR44" s="34"/>
      <c r="AS44" s="50" t="s">
        <v>421</v>
      </c>
      <c r="AU44" s="34"/>
      <c r="AW44" s="34"/>
      <c r="AY44" s="50" t="s">
        <v>421</v>
      </c>
      <c r="BB44" s="33"/>
      <c r="BC44" s="34"/>
      <c r="BE44" s="50" t="s">
        <v>421</v>
      </c>
      <c r="BI44" s="35"/>
      <c r="BK44" s="50" t="s">
        <v>421</v>
      </c>
      <c r="BL44" s="33"/>
      <c r="BO44" s="34"/>
      <c r="BP44" s="34"/>
      <c r="BQ44" s="50" t="s">
        <v>421</v>
      </c>
      <c r="BR44" s="34"/>
      <c r="BS44" s="34"/>
      <c r="BT44" s="50"/>
      <c r="BV44" s="50"/>
      <c r="BW44" s="50" t="s">
        <v>421</v>
      </c>
      <c r="BX44" s="34"/>
      <c r="BY44" s="34"/>
      <c r="BZ44" s="33"/>
      <c r="CA44" s="34"/>
      <c r="CB44" s="34"/>
      <c r="CC44" s="50" t="s">
        <v>421</v>
      </c>
      <c r="CD44" s="34"/>
      <c r="CE44" s="34"/>
      <c r="CF44" s="50"/>
      <c r="CG44" s="33"/>
      <c r="CH44" s="34"/>
      <c r="CI44" s="50" t="s">
        <v>421</v>
      </c>
      <c r="CO44" s="50" t="s">
        <v>421</v>
      </c>
      <c r="CP44" s="33"/>
      <c r="CQ44" s="34"/>
      <c r="CR44" s="50"/>
      <c r="CS44" s="34"/>
      <c r="CT44" s="34"/>
      <c r="CU44" s="34"/>
      <c r="CV44" s="33"/>
      <c r="CW44" s="34"/>
      <c r="CX44" s="9"/>
      <c r="CY44" s="9"/>
      <c r="CZ44" s="34"/>
      <c r="DA44" s="23"/>
    </row>
    <row r="45" spans="3:105" ht="12.75">
      <c r="C45" s="51" t="s">
        <v>482</v>
      </c>
      <c r="D45" s="51"/>
      <c r="E45" s="35"/>
      <c r="F45" s="51"/>
      <c r="G45" s="51"/>
      <c r="H45" s="51"/>
      <c r="I45" s="51" t="s">
        <v>482</v>
      </c>
      <c r="K45" s="35"/>
      <c r="L45" s="51"/>
      <c r="M45" s="35"/>
      <c r="N45" s="51"/>
      <c r="O45" s="51" t="s">
        <v>482</v>
      </c>
      <c r="P45" s="51"/>
      <c r="R45" s="51"/>
      <c r="S45" s="34"/>
      <c r="T45" s="51"/>
      <c r="U45" s="51" t="s">
        <v>482</v>
      </c>
      <c r="V45" s="51"/>
      <c r="W45" s="35"/>
      <c r="Y45" s="51"/>
      <c r="Z45" s="35"/>
      <c r="AA45" s="51" t="s">
        <v>482</v>
      </c>
      <c r="AB45" s="35"/>
      <c r="AC45" s="51"/>
      <c r="AD45" s="35"/>
      <c r="AF45" s="51"/>
      <c r="AG45" s="51" t="s">
        <v>482</v>
      </c>
      <c r="AH45" s="35"/>
      <c r="AI45" s="35"/>
      <c r="AJ45" s="35"/>
      <c r="AK45" s="51"/>
      <c r="AM45" s="51" t="s">
        <v>482</v>
      </c>
      <c r="AN45" s="34"/>
      <c r="AO45" s="51"/>
      <c r="AP45" s="35"/>
      <c r="AQ45" s="51"/>
      <c r="AR45" s="35"/>
      <c r="AS45" s="51" t="s">
        <v>482</v>
      </c>
      <c r="AT45" s="51"/>
      <c r="AU45" s="35"/>
      <c r="AV45" s="51"/>
      <c r="AW45" s="34"/>
      <c r="AX45" s="51"/>
      <c r="AY45" s="51" t="s">
        <v>482</v>
      </c>
      <c r="BA45" s="51"/>
      <c r="BB45" s="35"/>
      <c r="BC45" s="35"/>
      <c r="BD45" s="51"/>
      <c r="BE45" s="51" t="s">
        <v>482</v>
      </c>
      <c r="BF45" s="51"/>
      <c r="BH45" s="51"/>
      <c r="BI45" s="35"/>
      <c r="BJ45" s="51"/>
      <c r="BK45" s="51" t="s">
        <v>482</v>
      </c>
      <c r="BL45" s="35"/>
      <c r="BM45" s="51"/>
      <c r="BO45" s="35"/>
      <c r="BP45" s="35"/>
      <c r="BQ45" s="51" t="s">
        <v>482</v>
      </c>
      <c r="BR45" s="34"/>
      <c r="BS45" s="34"/>
      <c r="BT45" s="50"/>
      <c r="BV45" s="51"/>
      <c r="BW45" s="51" t="s">
        <v>482</v>
      </c>
      <c r="BX45" s="35"/>
      <c r="BY45" s="35"/>
      <c r="BZ45" s="35"/>
      <c r="CA45" s="35"/>
      <c r="CB45" s="35"/>
      <c r="CC45" s="51" t="s">
        <v>482</v>
      </c>
      <c r="CD45" s="35"/>
      <c r="CE45" s="34"/>
      <c r="CF45" s="51"/>
      <c r="CG45" s="35"/>
      <c r="CH45" s="35"/>
      <c r="CI45" s="51" t="s">
        <v>482</v>
      </c>
      <c r="CO45" s="51" t="s">
        <v>482</v>
      </c>
      <c r="CP45" s="35"/>
      <c r="CQ45" s="35"/>
      <c r="CR45" s="51"/>
      <c r="CS45" s="35"/>
      <c r="CT45" s="34"/>
      <c r="CU45" s="35"/>
      <c r="CV45" s="35"/>
      <c r="CW45" s="35"/>
      <c r="CX45" s="9"/>
      <c r="CY45" s="9"/>
      <c r="CZ45" s="34"/>
      <c r="DA45" s="23"/>
    </row>
    <row r="46" spans="3:105" ht="12.75">
      <c r="C46" s="51" t="s">
        <v>370</v>
      </c>
      <c r="E46" s="33"/>
      <c r="I46" s="51" t="s">
        <v>370</v>
      </c>
      <c r="K46" s="35"/>
      <c r="M46" s="34"/>
      <c r="N46" s="50"/>
      <c r="O46" s="51" t="s">
        <v>370</v>
      </c>
      <c r="S46" s="34"/>
      <c r="U46" s="51" t="s">
        <v>370</v>
      </c>
      <c r="V46" s="51"/>
      <c r="W46" s="33"/>
      <c r="Z46" s="35"/>
      <c r="AA46" s="51" t="s">
        <v>370</v>
      </c>
      <c r="AB46" s="34"/>
      <c r="AD46" s="34"/>
      <c r="AG46" s="51" t="s">
        <v>370</v>
      </c>
      <c r="AH46" s="35"/>
      <c r="AI46" s="35"/>
      <c r="AJ46" s="34"/>
      <c r="AM46" s="51" t="s">
        <v>370</v>
      </c>
      <c r="AN46" s="34"/>
      <c r="AP46" s="33"/>
      <c r="AR46" s="34"/>
      <c r="AS46" s="51" t="s">
        <v>370</v>
      </c>
      <c r="AU46" s="34"/>
      <c r="AW46" s="34"/>
      <c r="AY46" s="51" t="s">
        <v>370</v>
      </c>
      <c r="BB46" s="33"/>
      <c r="BC46" s="35"/>
      <c r="BE46" s="51" t="s">
        <v>370</v>
      </c>
      <c r="BI46" s="35"/>
      <c r="BK46" s="51" t="s">
        <v>370</v>
      </c>
      <c r="BL46" s="33"/>
      <c r="BO46" s="35"/>
      <c r="BP46" s="34"/>
      <c r="BQ46" s="51" t="s">
        <v>370</v>
      </c>
      <c r="BR46" s="34"/>
      <c r="BS46" s="34"/>
      <c r="BT46" s="50"/>
      <c r="BV46" s="51"/>
      <c r="BW46" s="51" t="s">
        <v>370</v>
      </c>
      <c r="BX46" s="35"/>
      <c r="BY46" s="35"/>
      <c r="BZ46" s="33"/>
      <c r="CA46" s="34"/>
      <c r="CB46" s="34"/>
      <c r="CC46" s="51" t="s">
        <v>370</v>
      </c>
      <c r="CD46" s="35"/>
      <c r="CE46" s="34"/>
      <c r="CF46" s="51"/>
      <c r="CG46" s="33"/>
      <c r="CH46" s="34"/>
      <c r="CI46" s="51" t="s">
        <v>370</v>
      </c>
      <c r="CO46" s="51" t="s">
        <v>370</v>
      </c>
      <c r="CP46" s="33"/>
      <c r="CQ46" s="35"/>
      <c r="CR46" s="51"/>
      <c r="CS46" s="34"/>
      <c r="CT46" s="34"/>
      <c r="CU46" s="35"/>
      <c r="CV46" s="33"/>
      <c r="CW46" s="34"/>
      <c r="CX46" s="9"/>
      <c r="CY46" s="9"/>
      <c r="CZ46" s="34"/>
      <c r="DA46" s="23"/>
    </row>
    <row r="47" spans="3:105" ht="12.75">
      <c r="C47" s="50" t="s">
        <v>422</v>
      </c>
      <c r="E47" s="33"/>
      <c r="I47" s="50" t="s">
        <v>422</v>
      </c>
      <c r="K47" s="34"/>
      <c r="M47" s="34"/>
      <c r="N47" s="50"/>
      <c r="O47" s="50" t="s">
        <v>422</v>
      </c>
      <c r="S47" s="34"/>
      <c r="U47" s="50" t="s">
        <v>422</v>
      </c>
      <c r="V47" s="50"/>
      <c r="W47" s="33"/>
      <c r="Z47" s="34"/>
      <c r="AA47" s="50" t="s">
        <v>422</v>
      </c>
      <c r="AB47" s="34"/>
      <c r="AD47" s="34"/>
      <c r="AG47" s="50" t="s">
        <v>422</v>
      </c>
      <c r="AH47" s="34"/>
      <c r="AI47" s="34"/>
      <c r="AJ47" s="34"/>
      <c r="AM47" s="50" t="s">
        <v>422</v>
      </c>
      <c r="AN47" s="34"/>
      <c r="AP47" s="33"/>
      <c r="AR47" s="34"/>
      <c r="AS47" s="50" t="s">
        <v>422</v>
      </c>
      <c r="AU47" s="34"/>
      <c r="AW47" s="34"/>
      <c r="AY47" s="50" t="s">
        <v>422</v>
      </c>
      <c r="BB47" s="33"/>
      <c r="BC47" s="34"/>
      <c r="BE47" s="50" t="s">
        <v>422</v>
      </c>
      <c r="BI47" s="35"/>
      <c r="BK47" s="50" t="s">
        <v>422</v>
      </c>
      <c r="BL47" s="33"/>
      <c r="BO47" s="34"/>
      <c r="BP47" s="34"/>
      <c r="BQ47" s="50" t="s">
        <v>422</v>
      </c>
      <c r="BR47" s="34"/>
      <c r="BS47" s="34"/>
      <c r="BT47" s="50"/>
      <c r="BV47" s="50"/>
      <c r="BW47" s="50" t="s">
        <v>422</v>
      </c>
      <c r="BX47" s="34"/>
      <c r="BY47" s="34"/>
      <c r="BZ47" s="33"/>
      <c r="CA47" s="34"/>
      <c r="CB47" s="34"/>
      <c r="CC47" s="50" t="s">
        <v>422</v>
      </c>
      <c r="CD47" s="34"/>
      <c r="CE47" s="34"/>
      <c r="CF47" s="50"/>
      <c r="CG47" s="33"/>
      <c r="CH47" s="34"/>
      <c r="CI47" s="50" t="s">
        <v>422</v>
      </c>
      <c r="CO47" s="50" t="s">
        <v>422</v>
      </c>
      <c r="CP47" s="33"/>
      <c r="CQ47" s="34"/>
      <c r="CR47" s="50"/>
      <c r="CS47" s="34"/>
      <c r="CT47" s="34"/>
      <c r="CU47" s="34"/>
      <c r="CV47" s="33"/>
      <c r="CW47" s="34"/>
      <c r="CX47" s="9"/>
      <c r="CY47" s="9"/>
      <c r="CZ47" s="34"/>
      <c r="DA47" s="23"/>
    </row>
    <row r="48" spans="3:105" ht="12.75">
      <c r="C48" s="50" t="s">
        <v>369</v>
      </c>
      <c r="E48" s="33"/>
      <c r="I48" s="50" t="s">
        <v>369</v>
      </c>
      <c r="K48" s="34"/>
      <c r="M48" s="34"/>
      <c r="N48" s="50"/>
      <c r="O48" s="50" t="s">
        <v>369</v>
      </c>
      <c r="S48" s="34"/>
      <c r="U48" s="50" t="s">
        <v>369</v>
      </c>
      <c r="V48" s="50"/>
      <c r="W48" s="33"/>
      <c r="Z48" s="34"/>
      <c r="AA48" s="50" t="s">
        <v>369</v>
      </c>
      <c r="AB48" s="34"/>
      <c r="AD48" s="34"/>
      <c r="AG48" s="50" t="s">
        <v>369</v>
      </c>
      <c r="AH48" s="34"/>
      <c r="AI48" s="34"/>
      <c r="AJ48" s="34"/>
      <c r="AM48" s="50" t="s">
        <v>369</v>
      </c>
      <c r="AN48" s="34"/>
      <c r="AP48" s="33"/>
      <c r="AR48" s="34"/>
      <c r="AS48" s="50" t="s">
        <v>369</v>
      </c>
      <c r="AU48" s="34"/>
      <c r="AW48" s="34"/>
      <c r="AY48" s="50" t="s">
        <v>369</v>
      </c>
      <c r="BB48" s="33"/>
      <c r="BC48" s="34"/>
      <c r="BE48" s="50" t="s">
        <v>369</v>
      </c>
      <c r="BI48" s="35"/>
      <c r="BK48" s="50" t="s">
        <v>369</v>
      </c>
      <c r="BL48" s="33"/>
      <c r="BO48" s="34"/>
      <c r="BP48" s="34"/>
      <c r="BQ48" s="50" t="s">
        <v>369</v>
      </c>
      <c r="BR48" s="34"/>
      <c r="BS48" s="34"/>
      <c r="BT48" s="50"/>
      <c r="BV48" s="50"/>
      <c r="BW48" s="50" t="s">
        <v>369</v>
      </c>
      <c r="BX48" s="34"/>
      <c r="BY48" s="34"/>
      <c r="BZ48" s="33"/>
      <c r="CA48" s="34"/>
      <c r="CB48" s="34"/>
      <c r="CC48" s="50" t="s">
        <v>369</v>
      </c>
      <c r="CD48" s="34"/>
      <c r="CE48" s="34"/>
      <c r="CF48" s="50"/>
      <c r="CG48" s="33"/>
      <c r="CH48" s="34"/>
      <c r="CI48" s="50" t="s">
        <v>369</v>
      </c>
      <c r="CO48" s="50" t="s">
        <v>369</v>
      </c>
      <c r="CP48" s="33"/>
      <c r="CQ48" s="34"/>
      <c r="CR48" s="50"/>
      <c r="CS48" s="34"/>
      <c r="CT48" s="34"/>
      <c r="CU48" s="34"/>
      <c r="CV48" s="33"/>
      <c r="CW48" s="34"/>
      <c r="CX48" s="9"/>
      <c r="CY48" s="9"/>
      <c r="CZ48" s="34"/>
      <c r="DA48" s="23"/>
    </row>
    <row r="49" spans="2:104" ht="12.75">
      <c r="B49" s="21"/>
      <c r="C49" s="50" t="s">
        <v>423</v>
      </c>
      <c r="E49" s="33"/>
      <c r="I49" s="50" t="s">
        <v>423</v>
      </c>
      <c r="K49" s="34"/>
      <c r="M49" s="34"/>
      <c r="N49" s="50"/>
      <c r="O49" s="50" t="s">
        <v>423</v>
      </c>
      <c r="S49" s="34"/>
      <c r="U49" s="50" t="s">
        <v>423</v>
      </c>
      <c r="V49" s="50"/>
      <c r="W49" s="33"/>
      <c r="Z49" s="34"/>
      <c r="AA49" s="50" t="s">
        <v>423</v>
      </c>
      <c r="AB49" s="34"/>
      <c r="AD49" s="34"/>
      <c r="AG49" s="50" t="s">
        <v>423</v>
      </c>
      <c r="AH49" s="34"/>
      <c r="AI49" s="34"/>
      <c r="AJ49" s="34"/>
      <c r="AM49" s="50" t="s">
        <v>423</v>
      </c>
      <c r="AN49" s="34"/>
      <c r="AP49" s="33"/>
      <c r="AR49" s="34"/>
      <c r="AS49" s="50" t="s">
        <v>423</v>
      </c>
      <c r="AU49" s="34"/>
      <c r="AW49" s="34"/>
      <c r="AY49" s="50" t="s">
        <v>423</v>
      </c>
      <c r="BB49" s="33"/>
      <c r="BC49" s="34"/>
      <c r="BE49" s="50" t="s">
        <v>423</v>
      </c>
      <c r="BI49" s="35"/>
      <c r="BK49" s="50" t="s">
        <v>423</v>
      </c>
      <c r="BL49" s="33"/>
      <c r="BO49" s="34"/>
      <c r="BP49" s="34"/>
      <c r="BQ49" s="50" t="s">
        <v>423</v>
      </c>
      <c r="BR49" s="34"/>
      <c r="BS49" s="34"/>
      <c r="BT49" s="50"/>
      <c r="BV49" s="50"/>
      <c r="BW49" s="50" t="s">
        <v>423</v>
      </c>
      <c r="BX49" s="34"/>
      <c r="BY49" s="34"/>
      <c r="BZ49" s="33"/>
      <c r="CA49" s="34"/>
      <c r="CB49" s="34"/>
      <c r="CC49" s="50" t="s">
        <v>423</v>
      </c>
      <c r="CD49" s="34"/>
      <c r="CE49" s="34"/>
      <c r="CF49" s="50"/>
      <c r="CG49" s="33"/>
      <c r="CH49" s="34"/>
      <c r="CI49" s="50" t="s">
        <v>423</v>
      </c>
      <c r="CO49" s="50" t="s">
        <v>423</v>
      </c>
      <c r="CP49" s="33"/>
      <c r="CQ49" s="34"/>
      <c r="CR49" s="50"/>
      <c r="CS49" s="34"/>
      <c r="CT49" s="34"/>
      <c r="CU49" s="34"/>
      <c r="CV49" s="33"/>
      <c r="CW49" s="34"/>
      <c r="CX49" s="9"/>
      <c r="CY49" s="9"/>
      <c r="CZ49" s="34"/>
    </row>
    <row r="50" spans="2:104" ht="12.75">
      <c r="B50" s="21"/>
      <c r="C50" s="50" t="s">
        <v>408</v>
      </c>
      <c r="E50" s="33"/>
      <c r="I50" s="50" t="s">
        <v>408</v>
      </c>
      <c r="K50" s="34" t="s">
        <v>408</v>
      </c>
      <c r="M50" s="34"/>
      <c r="N50" s="50"/>
      <c r="O50" s="50" t="s">
        <v>408</v>
      </c>
      <c r="S50" s="34"/>
      <c r="U50" s="50" t="s">
        <v>408</v>
      </c>
      <c r="V50" s="50"/>
      <c r="W50" s="33"/>
      <c r="Z50" s="34"/>
      <c r="AA50" s="50" t="s">
        <v>408</v>
      </c>
      <c r="AB50" s="34"/>
      <c r="AD50" s="34"/>
      <c r="AG50" s="50" t="s">
        <v>408</v>
      </c>
      <c r="AH50" s="34"/>
      <c r="AI50" s="34"/>
      <c r="AJ50" s="34"/>
      <c r="AM50" s="50" t="s">
        <v>408</v>
      </c>
      <c r="AN50" s="34"/>
      <c r="AP50" s="33"/>
      <c r="AR50" s="34"/>
      <c r="AS50" s="50" t="s">
        <v>408</v>
      </c>
      <c r="AU50" s="34"/>
      <c r="AW50" s="34"/>
      <c r="AY50" s="50" t="s">
        <v>408</v>
      </c>
      <c r="BB50" s="33"/>
      <c r="BC50" s="34"/>
      <c r="BE50" s="50" t="s">
        <v>408</v>
      </c>
      <c r="BI50" s="35"/>
      <c r="BK50" s="50" t="s">
        <v>408</v>
      </c>
      <c r="BL50" s="33"/>
      <c r="BO50" s="34"/>
      <c r="BP50" s="34"/>
      <c r="BQ50" s="50" t="s">
        <v>408</v>
      </c>
      <c r="BR50" s="34"/>
      <c r="BS50" s="34"/>
      <c r="BT50" s="50"/>
      <c r="BV50" s="50"/>
      <c r="BW50" s="50" t="s">
        <v>408</v>
      </c>
      <c r="BX50" s="34"/>
      <c r="BY50" s="34"/>
      <c r="BZ50" s="33"/>
      <c r="CA50" s="34"/>
      <c r="CB50" s="34"/>
      <c r="CC50" s="50" t="s">
        <v>408</v>
      </c>
      <c r="CD50" s="34"/>
      <c r="CE50" s="34"/>
      <c r="CF50" s="50"/>
      <c r="CG50" s="33"/>
      <c r="CH50" s="34"/>
      <c r="CI50" s="50" t="s">
        <v>408</v>
      </c>
      <c r="CO50" s="50" t="s">
        <v>408</v>
      </c>
      <c r="CP50" s="33"/>
      <c r="CQ50" s="34"/>
      <c r="CR50" s="50"/>
      <c r="CS50" s="34"/>
      <c r="CT50" s="34"/>
      <c r="CU50" s="34"/>
      <c r="CV50" s="33"/>
      <c r="CW50" s="34"/>
      <c r="CX50" s="9"/>
      <c r="CY50" s="9"/>
      <c r="CZ50" s="34"/>
    </row>
    <row r="51" spans="1:103" ht="12.75">
      <c r="A51" s="21"/>
      <c r="B51" s="21"/>
      <c r="D51" s="50"/>
      <c r="E51" s="23"/>
      <c r="F51" s="50"/>
      <c r="G51" s="50"/>
      <c r="H51" s="50"/>
      <c r="I51" s="50"/>
      <c r="J51" s="50"/>
      <c r="K51" s="23"/>
      <c r="L51" s="50"/>
      <c r="M51" s="23"/>
      <c r="N51" s="50"/>
      <c r="O51" s="50"/>
      <c r="P51" s="50"/>
      <c r="Q51" s="23"/>
      <c r="R51" s="50"/>
      <c r="S51" s="23"/>
      <c r="T51" s="50"/>
      <c r="U51" s="23"/>
      <c r="V51" s="50"/>
      <c r="CX51" s="9"/>
      <c r="CY51" s="9"/>
    </row>
    <row r="52" spans="1:103" ht="12.75">
      <c r="A52" s="12"/>
      <c r="B52" s="12"/>
      <c r="C52" s="9"/>
      <c r="D52" s="52"/>
      <c r="E52" s="9"/>
      <c r="F52" s="52"/>
      <c r="G52" s="52"/>
      <c r="H52" s="52"/>
      <c r="I52" s="52"/>
      <c r="J52" s="52"/>
      <c r="K52" s="9"/>
      <c r="L52" s="52"/>
      <c r="M52" s="9"/>
      <c r="N52" s="52"/>
      <c r="O52" s="52"/>
      <c r="P52" s="52"/>
      <c r="Q52" s="9"/>
      <c r="R52" s="52"/>
      <c r="S52" s="9"/>
      <c r="T52" s="52"/>
      <c r="U52" s="9"/>
      <c r="V52" s="52"/>
      <c r="CX52" s="9"/>
      <c r="CY52" s="9"/>
    </row>
    <row r="53" spans="1:103" ht="15.75">
      <c r="A53" s="12"/>
      <c r="B53" s="12"/>
      <c r="C53" s="67"/>
      <c r="D53" s="52"/>
      <c r="E53" s="9"/>
      <c r="F53" s="52"/>
      <c r="G53" s="52"/>
      <c r="H53" s="52"/>
      <c r="I53" s="52"/>
      <c r="J53" s="52"/>
      <c r="K53" s="9"/>
      <c r="L53" s="52"/>
      <c r="M53" s="9"/>
      <c r="N53" s="52"/>
      <c r="O53" s="52"/>
      <c r="P53" s="52"/>
      <c r="Q53" s="9"/>
      <c r="R53" s="52"/>
      <c r="S53" s="9"/>
      <c r="T53" s="52"/>
      <c r="U53" s="9"/>
      <c r="V53" s="52"/>
      <c r="CX53" s="9"/>
      <c r="CY53" s="9"/>
    </row>
    <row r="54" spans="1:105" ht="12.75">
      <c r="A54" s="29" t="s">
        <v>373</v>
      </c>
      <c r="C54" s="4"/>
      <c r="D54" s="49"/>
      <c r="E54" s="4"/>
      <c r="F54" s="49"/>
      <c r="G54" s="49"/>
      <c r="H54" s="49"/>
      <c r="I54" s="49"/>
      <c r="J54" s="49"/>
      <c r="K54" s="4"/>
      <c r="L54" s="49"/>
      <c r="M54" s="4"/>
      <c r="N54" s="49"/>
      <c r="O54" s="49"/>
      <c r="P54" s="49"/>
      <c r="Q54" s="4"/>
      <c r="R54" s="49"/>
      <c r="S54" s="4"/>
      <c r="T54" s="49"/>
      <c r="U54" s="4"/>
      <c r="V54" s="49"/>
      <c r="W54" s="4"/>
      <c r="X54" s="49"/>
      <c r="Y54" s="49"/>
      <c r="Z54" s="4"/>
      <c r="AA54" s="49"/>
      <c r="AB54" s="4"/>
      <c r="AC54" s="49"/>
      <c r="AD54" s="4"/>
      <c r="AE54" s="4"/>
      <c r="AF54" s="49"/>
      <c r="AG54" s="4"/>
      <c r="AH54" s="4"/>
      <c r="AI54" s="4"/>
      <c r="AJ54" s="4"/>
      <c r="AK54" s="49"/>
      <c r="AL54" s="4"/>
      <c r="AM54" s="49"/>
      <c r="AN54" s="4"/>
      <c r="AO54" s="49"/>
      <c r="AP54" s="4"/>
      <c r="AQ54" s="49"/>
      <c r="AR54" s="4"/>
      <c r="AS54" s="4"/>
      <c r="AT54" s="49"/>
      <c r="AU54" s="4"/>
      <c r="AV54" s="49"/>
      <c r="AW54" s="4"/>
      <c r="AX54" s="49"/>
      <c r="AY54" s="4"/>
      <c r="AZ54" s="4"/>
      <c r="BA54" s="49"/>
      <c r="BB54" s="4"/>
      <c r="BC54" s="4"/>
      <c r="BD54" s="49"/>
      <c r="BE54" s="4"/>
      <c r="BF54" s="49"/>
      <c r="BG54" s="4"/>
      <c r="BH54" s="49"/>
      <c r="BI54" s="46"/>
      <c r="BJ54" s="49"/>
      <c r="BK54" s="4"/>
      <c r="BL54" s="4"/>
      <c r="BM54" s="49"/>
      <c r="BN54" s="49"/>
      <c r="BO54" s="4"/>
      <c r="BP54" s="4"/>
      <c r="BQ54" s="4"/>
      <c r="BR54" s="4"/>
      <c r="BS54" s="4"/>
      <c r="BT54" s="49"/>
      <c r="BU54" s="49"/>
      <c r="BV54" s="49"/>
      <c r="BW54" s="4"/>
      <c r="BX54" s="4"/>
      <c r="BY54" s="4"/>
      <c r="BZ54" s="49"/>
      <c r="CA54" s="4"/>
      <c r="CB54" s="49"/>
      <c r="CC54" s="49"/>
      <c r="CD54" s="4"/>
      <c r="CE54" s="4"/>
      <c r="CF54" s="49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9"/>
      <c r="CS54" s="4"/>
      <c r="CT54" s="4"/>
      <c r="CV54" s="4"/>
      <c r="CW54" s="4"/>
      <c r="CX54" s="9"/>
      <c r="CY54" s="9"/>
      <c r="CZ54" s="4"/>
      <c r="DA54" s="4"/>
    </row>
    <row r="55" spans="3:105" ht="12.75">
      <c r="C55" s="4"/>
      <c r="D55" s="49"/>
      <c r="E55" s="4"/>
      <c r="F55" s="49"/>
      <c r="G55" s="49"/>
      <c r="H55" s="49"/>
      <c r="I55" s="49"/>
      <c r="J55" s="49"/>
      <c r="K55" s="4"/>
      <c r="L55" s="49"/>
      <c r="M55" s="4"/>
      <c r="N55" s="49"/>
      <c r="O55" s="49"/>
      <c r="P55" s="49"/>
      <c r="Q55" s="4"/>
      <c r="R55" s="49"/>
      <c r="S55" s="4"/>
      <c r="T55" s="49"/>
      <c r="U55" s="4"/>
      <c r="V55" s="49"/>
      <c r="W55" s="4"/>
      <c r="X55" s="49"/>
      <c r="Y55" s="49"/>
      <c r="Z55" s="4"/>
      <c r="AA55" s="49"/>
      <c r="AB55" s="4"/>
      <c r="AC55" s="49"/>
      <c r="AD55" s="4"/>
      <c r="AE55" s="4"/>
      <c r="AF55" s="49"/>
      <c r="AG55" s="4"/>
      <c r="AH55" s="4"/>
      <c r="AI55" s="4"/>
      <c r="AJ55" s="4"/>
      <c r="AK55" s="49"/>
      <c r="AL55" s="4"/>
      <c r="AM55" s="49"/>
      <c r="AN55" s="4"/>
      <c r="AO55" s="49"/>
      <c r="AP55" s="4"/>
      <c r="AQ55" s="49"/>
      <c r="AR55" s="4"/>
      <c r="AS55" s="4"/>
      <c r="AT55" s="49"/>
      <c r="AU55" s="4"/>
      <c r="AV55" s="49"/>
      <c r="AW55" s="4"/>
      <c r="AX55" s="49"/>
      <c r="AY55" s="4"/>
      <c r="AZ55" s="4"/>
      <c r="BA55" s="49"/>
      <c r="BB55" s="4"/>
      <c r="BC55" s="4"/>
      <c r="BD55" s="49"/>
      <c r="BE55" s="4"/>
      <c r="BF55" s="49"/>
      <c r="BG55" s="4"/>
      <c r="BH55" s="49"/>
      <c r="BI55" s="46"/>
      <c r="BJ55" s="49"/>
      <c r="BK55" s="4"/>
      <c r="BL55" s="4"/>
      <c r="BM55" s="49"/>
      <c r="BN55" s="49"/>
      <c r="BO55" s="4"/>
      <c r="BP55" s="4"/>
      <c r="BQ55" s="4"/>
      <c r="BR55" s="4"/>
      <c r="BS55" s="4"/>
      <c r="BT55" s="49"/>
      <c r="BU55" s="49"/>
      <c r="BV55" s="49"/>
      <c r="BW55" s="4"/>
      <c r="BX55" s="4"/>
      <c r="BY55" s="4"/>
      <c r="BZ55" s="49"/>
      <c r="CA55" s="4"/>
      <c r="CB55" s="49"/>
      <c r="CC55" s="49"/>
      <c r="CD55" s="4"/>
      <c r="CE55" s="4"/>
      <c r="CF55" s="49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9"/>
      <c r="CS55" s="4"/>
      <c r="CT55" s="4"/>
      <c r="CV55" s="4"/>
      <c r="CW55" s="4"/>
      <c r="CX55" s="9"/>
      <c r="CY55" s="9"/>
      <c r="CZ55" s="4"/>
      <c r="DA55" s="4"/>
    </row>
    <row r="56" spans="1:105" ht="12.75">
      <c r="A56" s="188"/>
      <c r="B56" s="188"/>
      <c r="C56" s="175"/>
      <c r="D56" s="53"/>
      <c r="E56" s="175"/>
      <c r="F56" s="53"/>
      <c r="G56" s="53"/>
      <c r="H56" s="53"/>
      <c r="I56" s="53"/>
      <c r="J56" s="53"/>
      <c r="K56" s="175"/>
      <c r="L56" s="53"/>
      <c r="M56" s="175"/>
      <c r="N56" s="53"/>
      <c r="O56" s="53"/>
      <c r="P56" s="53"/>
      <c r="Q56" s="175"/>
      <c r="R56" s="53"/>
      <c r="S56" s="175"/>
      <c r="T56" s="53"/>
      <c r="U56" s="175"/>
      <c r="V56" s="53"/>
      <c r="W56" s="175"/>
      <c r="X56" s="53"/>
      <c r="Y56" s="53"/>
      <c r="Z56" s="175"/>
      <c r="AA56" s="53"/>
      <c r="AB56" s="175"/>
      <c r="AC56" s="53"/>
      <c r="AD56" s="175"/>
      <c r="AE56" s="175"/>
      <c r="AF56" s="53"/>
      <c r="AG56" s="175"/>
      <c r="AH56" s="175"/>
      <c r="AI56" s="175"/>
      <c r="AJ56" s="175"/>
      <c r="AK56" s="53"/>
      <c r="AL56" s="175"/>
      <c r="AM56" s="53"/>
      <c r="AN56" s="175"/>
      <c r="AO56" s="53"/>
      <c r="AP56" s="175"/>
      <c r="AQ56" s="53"/>
      <c r="AR56" s="175"/>
      <c r="AS56" s="175"/>
      <c r="AT56" s="53"/>
      <c r="AU56" s="175"/>
      <c r="AV56" s="53"/>
      <c r="AW56" s="175"/>
      <c r="AX56" s="53"/>
      <c r="AY56" s="175"/>
      <c r="AZ56" s="175"/>
      <c r="BA56" s="53"/>
      <c r="BB56" s="175"/>
      <c r="BC56" s="175"/>
      <c r="BD56" s="53"/>
      <c r="BE56" s="175"/>
      <c r="BF56" s="53"/>
      <c r="BG56" s="175"/>
      <c r="BH56" s="53"/>
      <c r="BI56" s="196"/>
      <c r="BJ56" s="53"/>
      <c r="BK56" s="175"/>
      <c r="BL56" s="175"/>
      <c r="BM56" s="53"/>
      <c r="BN56" s="53"/>
      <c r="BO56" s="175"/>
      <c r="BP56" s="175"/>
      <c r="BQ56" s="175"/>
      <c r="BR56" s="175"/>
      <c r="BS56" s="175"/>
      <c r="BT56" s="53"/>
      <c r="BU56" s="53"/>
      <c r="BV56" s="53"/>
      <c r="BW56" s="175"/>
      <c r="BX56" s="175"/>
      <c r="BY56" s="175"/>
      <c r="BZ56" s="53"/>
      <c r="CA56" s="175"/>
      <c r="CB56" s="53"/>
      <c r="CC56" s="53"/>
      <c r="CD56" s="175"/>
      <c r="CE56" s="175"/>
      <c r="CF56" s="53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53"/>
      <c r="CS56" s="175"/>
      <c r="CT56" s="175"/>
      <c r="CV56" s="175"/>
      <c r="CW56" s="175"/>
      <c r="CX56" s="9"/>
      <c r="CY56" s="9"/>
      <c r="CZ56" s="175"/>
      <c r="DA56" s="175"/>
    </row>
    <row r="57" spans="1:132" ht="12.75">
      <c r="A57" s="8" t="s">
        <v>145</v>
      </c>
      <c r="B57" s="188"/>
      <c r="C57" s="133">
        <f>'3.2 Yfirlit'!B14</f>
        <v>1565375.674</v>
      </c>
      <c r="D57" s="133"/>
      <c r="E57" s="133">
        <f>'3.2 Yfirlit'!D14</f>
        <v>6333288</v>
      </c>
      <c r="F57" s="133"/>
      <c r="G57" s="133"/>
      <c r="H57" s="133"/>
      <c r="I57" s="133"/>
      <c r="J57" s="133"/>
      <c r="K57" s="133">
        <f>'3.2 Yfirlit'!J14</f>
        <v>1538153.711</v>
      </c>
      <c r="L57" s="133"/>
      <c r="M57" s="133">
        <f>'3.2 Yfirlit'!L14</f>
        <v>1045256.905</v>
      </c>
      <c r="N57" s="133"/>
      <c r="O57" s="133"/>
      <c r="P57" s="133"/>
      <c r="Q57" s="133">
        <f>'3.2 Yfirlit'!P14</f>
        <v>869050.99</v>
      </c>
      <c r="R57" s="133"/>
      <c r="S57" s="133">
        <f>'3.2 Yfirlit'!R14</f>
        <v>505582.872</v>
      </c>
      <c r="T57" s="133"/>
      <c r="U57" s="133">
        <f>'3.2 Yfirlit'!T14</f>
        <v>170399.449</v>
      </c>
      <c r="V57" s="133"/>
      <c r="W57" s="133">
        <f>'3.2 Yfirlit'!V14</f>
        <v>449000.636</v>
      </c>
      <c r="X57" s="133"/>
      <c r="Y57" s="133"/>
      <c r="Z57" s="133">
        <f>'3.2 Yfirlit'!Y14</f>
        <v>149276.684</v>
      </c>
      <c r="AA57" s="133"/>
      <c r="AB57" s="133">
        <f>'3.2 Yfirlit'!AA14</f>
        <v>642564.226</v>
      </c>
      <c r="AC57" s="133"/>
      <c r="AD57" s="133">
        <f>'3.2 Yfirlit'!AC14</f>
        <v>276405.211</v>
      </c>
      <c r="AE57" s="133">
        <f>'3.2 Yfirlit'!AD14</f>
        <v>255616.533</v>
      </c>
      <c r="AF57" s="133"/>
      <c r="AG57" s="133">
        <f>'3.2 Yfirlit'!AF14</f>
        <v>171016</v>
      </c>
      <c r="AH57" s="133">
        <f>'3.2 Yfirlit'!AG14</f>
        <v>546006.781</v>
      </c>
      <c r="AI57" s="133">
        <f>'3.2 Yfirlit'!AH14</f>
        <v>367166.954</v>
      </c>
      <c r="AJ57" s="133">
        <f>'3.2 Yfirlit'!AI14</f>
        <v>115132.605</v>
      </c>
      <c r="AK57" s="133"/>
      <c r="AL57" s="133">
        <f>'3.2 Yfirlit'!AK14</f>
        <v>220656.702</v>
      </c>
      <c r="AM57" s="133"/>
      <c r="AN57" s="133">
        <f>'3.2 Yfirlit'!AM14</f>
        <v>87993.002</v>
      </c>
      <c r="AO57" s="133"/>
      <c r="AP57" s="133">
        <f>'3.2 Yfirlit'!AO14</f>
        <v>69320.025</v>
      </c>
      <c r="AQ57" s="133"/>
      <c r="AR57" s="133">
        <f>'3.2 Yfirlit'!AQ14</f>
        <v>426240.619</v>
      </c>
      <c r="AS57" s="133">
        <f>'3.2 Yfirlit'!AR14</f>
        <v>229315.616</v>
      </c>
      <c r="AT57" s="133"/>
      <c r="AU57" s="133">
        <f>'3.2 Yfirlit'!AT14</f>
        <v>203728.866</v>
      </c>
      <c r="AV57" s="133"/>
      <c r="AW57" s="133">
        <f>'3.2 Yfirlit'!AV14</f>
        <v>79447</v>
      </c>
      <c r="AX57" s="133"/>
      <c r="AY57" s="133">
        <f>'3.2 Yfirlit'!AX14</f>
        <v>177790.261</v>
      </c>
      <c r="AZ57" s="133">
        <f>'3.2 Yfirlit'!AY14</f>
        <v>32331.065</v>
      </c>
      <c r="BA57" s="133"/>
      <c r="BB57" s="133">
        <f>'3.2 Yfirlit'!BA14</f>
        <v>119670.893</v>
      </c>
      <c r="BC57" s="133">
        <f>'3.2 Yfirlit'!BB14</f>
        <v>59757.555</v>
      </c>
      <c r="BD57" s="133"/>
      <c r="BE57" s="133">
        <f>'3.2 Yfirlit'!BD14</f>
        <v>129304.098</v>
      </c>
      <c r="BF57" s="133"/>
      <c r="BG57" s="133">
        <f>'3.2 Yfirlit'!BF14</f>
        <v>64679.245</v>
      </c>
      <c r="BH57" s="133"/>
      <c r="BI57" s="133">
        <f>'3.2 Yfirlit'!BH14</f>
        <v>118597.584</v>
      </c>
      <c r="BJ57" s="133"/>
      <c r="BK57" s="133">
        <f>'3.2 Yfirlit'!BJ14</f>
        <v>924733.296</v>
      </c>
      <c r="BL57" s="133">
        <f>'3.2 Yfirlit'!BK14</f>
        <v>131250.502</v>
      </c>
      <c r="BM57" s="133"/>
      <c r="BN57" s="133"/>
      <c r="BO57" s="133">
        <f>'3.2 Yfirlit'!BN14</f>
        <v>52424.349</v>
      </c>
      <c r="BP57" s="133">
        <f>'3.2 Yfirlit'!BO14</f>
        <v>75781.211</v>
      </c>
      <c r="BQ57" s="133">
        <f>'3.2 Yfirlit'!BP14</f>
        <v>35737.152</v>
      </c>
      <c r="BR57" s="133">
        <f>'3.2 Yfirlit'!BQ14</f>
        <v>36689.796</v>
      </c>
      <c r="BS57" s="133">
        <f>'3.2 Yfirlit'!BR14</f>
        <v>354.959</v>
      </c>
      <c r="BT57" s="133"/>
      <c r="BU57" s="133"/>
      <c r="BV57" s="133"/>
      <c r="BW57" s="133">
        <f>'3.2 Yfirlit'!BV14</f>
        <v>26237.056</v>
      </c>
      <c r="BX57" s="133">
        <f>'3.2 Yfirlit'!BW14</f>
        <v>53452.387</v>
      </c>
      <c r="BY57" s="133">
        <f>'3.2 Yfirlit'!BX14</f>
        <v>9230.738</v>
      </c>
      <c r="BZ57" s="133"/>
      <c r="CA57" s="133">
        <f>'3.2 Yfirlit'!BZ14</f>
        <v>74457.034</v>
      </c>
      <c r="CB57" s="133">
        <f>'3.2 Yfirlit'!CA14</f>
        <v>0</v>
      </c>
      <c r="CC57" s="133"/>
      <c r="CD57" s="133">
        <f>'3.2 Yfirlit'!CC14</f>
        <v>64317.455</v>
      </c>
      <c r="CE57" s="133">
        <f>'3.2 Yfirlit'!CD14</f>
        <v>13434.936</v>
      </c>
      <c r="CF57" s="133"/>
      <c r="CG57" s="133">
        <f>'3.2 Yfirlit'!CF14</f>
        <v>103017.043</v>
      </c>
      <c r="CH57" s="133">
        <f>'3.2 Yfirlit'!CG14</f>
        <v>60197.874</v>
      </c>
      <c r="CI57" s="133">
        <f>'3.2 Yfirlit'!CH14</f>
        <v>42158.69</v>
      </c>
      <c r="CJ57" s="133">
        <f>'3.2 Yfirlit'!CI14</f>
        <v>33354.266</v>
      </c>
      <c r="CK57" s="133">
        <f>'3.2 Yfirlit'!CJ14</f>
        <v>40842.882</v>
      </c>
      <c r="CL57" s="133">
        <f>'3.2 Yfirlit'!CK14</f>
        <v>36249.22</v>
      </c>
      <c r="CM57" s="133">
        <f>'3.2 Yfirlit'!CL14</f>
        <v>33545.639</v>
      </c>
      <c r="CN57" s="133">
        <f>'3.2 Yfirlit'!CM14</f>
        <v>22800.509</v>
      </c>
      <c r="CO57" s="133">
        <f>'3.2 Yfirlit'!CN14</f>
        <v>18239.54</v>
      </c>
      <c r="CP57" s="133">
        <f>'3.2 Yfirlit'!CO14</f>
        <v>116567.437</v>
      </c>
      <c r="CQ57" s="133">
        <f>'3.2 Yfirlit'!CP14</f>
        <v>0</v>
      </c>
      <c r="CR57" s="133"/>
      <c r="CS57" s="133">
        <f>'3.2 Yfirlit'!CR14</f>
        <v>40899.864</v>
      </c>
      <c r="CT57" s="133">
        <f>'3.2 Yfirlit'!CS14</f>
        <v>1414.696</v>
      </c>
      <c r="CU57" s="133"/>
      <c r="CV57" s="133">
        <f>+'3.2 Yfirlit'!CV14</f>
        <v>19065514.292999994</v>
      </c>
      <c r="CW57" s="133"/>
      <c r="CX57" s="133">
        <f>+'3.2 Yfirlit'!CX14</f>
        <v>8267515.793</v>
      </c>
      <c r="CY57" s="133">
        <f>+'3.2 Yfirlit'!CY14</f>
        <v>10797998.500000002</v>
      </c>
      <c r="CZ57" s="133"/>
      <c r="DA57" s="133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</row>
    <row r="58" spans="1:132" ht="12.75">
      <c r="A58" s="188"/>
      <c r="B58" s="188"/>
      <c r="C58" s="133"/>
      <c r="D58" s="54"/>
      <c r="E58" s="133"/>
      <c r="F58" s="54"/>
      <c r="G58" s="54"/>
      <c r="H58" s="54"/>
      <c r="I58" s="54"/>
      <c r="J58" s="54"/>
      <c r="K58" s="196"/>
      <c r="L58" s="54"/>
      <c r="M58" s="196"/>
      <c r="N58" s="54"/>
      <c r="O58" s="54"/>
      <c r="P58" s="54"/>
      <c r="Q58" s="196"/>
      <c r="R58" s="54"/>
      <c r="S58" s="196"/>
      <c r="T58" s="54"/>
      <c r="U58" s="196"/>
      <c r="V58" s="54"/>
      <c r="W58" s="196"/>
      <c r="X58" s="54"/>
      <c r="Y58" s="54"/>
      <c r="Z58" s="196"/>
      <c r="AA58" s="54"/>
      <c r="AB58" s="196"/>
      <c r="AC58" s="54"/>
      <c r="AD58" s="196"/>
      <c r="AE58" s="196"/>
      <c r="AF58" s="54"/>
      <c r="AG58" s="196"/>
      <c r="AH58" s="196"/>
      <c r="AI58" s="196"/>
      <c r="AJ58" s="196"/>
      <c r="AK58" s="54"/>
      <c r="AL58" s="196"/>
      <c r="AM58" s="54"/>
      <c r="AN58" s="196"/>
      <c r="AO58" s="54"/>
      <c r="AP58" s="196"/>
      <c r="AQ58" s="54"/>
      <c r="AR58" s="196"/>
      <c r="AS58" s="196"/>
      <c r="AT58" s="54"/>
      <c r="AU58" s="196"/>
      <c r="AV58" s="54"/>
      <c r="AW58" s="196"/>
      <c r="AX58" s="54"/>
      <c r="AY58" s="196"/>
      <c r="AZ58" s="196"/>
      <c r="BA58" s="54"/>
      <c r="BB58" s="196"/>
      <c r="BC58" s="196"/>
      <c r="BD58" s="54"/>
      <c r="BE58" s="196"/>
      <c r="BF58" s="54"/>
      <c r="BG58" s="196"/>
      <c r="BH58" s="54"/>
      <c r="BI58" s="196"/>
      <c r="BJ58" s="54"/>
      <c r="BK58" s="196"/>
      <c r="BL58" s="196"/>
      <c r="BM58" s="54"/>
      <c r="BN58" s="54"/>
      <c r="BO58" s="196"/>
      <c r="BP58" s="196"/>
      <c r="BQ58" s="196"/>
      <c r="BR58" s="196"/>
      <c r="BS58" s="196"/>
      <c r="BT58" s="54"/>
      <c r="BU58" s="54"/>
      <c r="BV58" s="54"/>
      <c r="BW58" s="196"/>
      <c r="BX58" s="196"/>
      <c r="BY58" s="196"/>
      <c r="BZ58" s="54"/>
      <c r="CA58" s="54"/>
      <c r="CB58" s="54"/>
      <c r="CC58" s="54"/>
      <c r="CD58" s="196"/>
      <c r="CE58" s="196"/>
      <c r="CF58" s="54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54"/>
      <c r="CS58" s="196"/>
      <c r="CT58" s="196"/>
      <c r="CV58" s="133"/>
      <c r="CW58" s="133"/>
      <c r="CX58" s="9">
        <f aca="true" t="shared" si="13" ref="CX58:CX64">+(E58+AR58+BK58+BO58+BS58+BX58+CA58+CG58+CH58+CN58+CO58+CP58+CS58+CK58)</f>
        <v>0</v>
      </c>
      <c r="CY58" s="9">
        <f>+(C58+K58+M58+Q58+S58+U58+W58+Z58+AB58+AD58+AE58+AG58+AH58+AI58+AJ58+AL58+AN58+AP58+AS58+AU58+AW58+AY58+AZ58+BB58+BC58+BE58+BG58+BI58+BL58+BP58+BQ58+BR58+BW58+BY58+CD58+CE58+CI58+CJ58+CL58+CM58+CQ58+CT58)/42</f>
        <v>0</v>
      </c>
      <c r="CZ58" s="133"/>
      <c r="DA58" s="196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</row>
    <row r="59" spans="1:132" ht="12.75">
      <c r="A59" s="47" t="s">
        <v>146</v>
      </c>
      <c r="B59" s="188"/>
      <c r="C59" s="133">
        <f>C57*(C21/100)</f>
        <v>978359.7962500001</v>
      </c>
      <c r="D59" s="138"/>
      <c r="E59" s="133">
        <f>E57*(E21/100)</f>
        <v>4591633.8</v>
      </c>
      <c r="F59" s="138"/>
      <c r="G59" s="138"/>
      <c r="H59" s="138"/>
      <c r="I59" s="138"/>
      <c r="J59" s="138"/>
      <c r="K59" s="133">
        <f>K57*(K21/100)</f>
        <v>938273.76371</v>
      </c>
      <c r="L59" s="138"/>
      <c r="M59" s="133">
        <f>M57*(M21/100)</f>
        <v>656421.33634</v>
      </c>
      <c r="N59" s="138"/>
      <c r="O59" s="138"/>
      <c r="P59" s="138"/>
      <c r="Q59" s="133">
        <f>Q57*(Q21/100)</f>
        <v>365001.41579999996</v>
      </c>
      <c r="R59" s="138"/>
      <c r="S59" s="133">
        <f>S57*(S21/100)</f>
        <v>276553.830984</v>
      </c>
      <c r="T59" s="138"/>
      <c r="U59" s="133">
        <f>U57*(U21/100)</f>
        <v>88420.2740861</v>
      </c>
      <c r="V59" s="138"/>
      <c r="W59" s="133">
        <f>W57*(W21/100)</f>
        <v>351567.497988</v>
      </c>
      <c r="X59" s="138"/>
      <c r="Y59" s="138"/>
      <c r="Z59" s="133">
        <f>Z57*(Z21/100)</f>
        <v>73742.68189600001</v>
      </c>
      <c r="AA59" s="138"/>
      <c r="AB59" s="133">
        <f>AB57*(AB21/100)</f>
        <v>435658.545228</v>
      </c>
      <c r="AC59" s="138"/>
      <c r="AD59" s="133">
        <f>AD57*(AD21/100)</f>
        <v>119959.86157400001</v>
      </c>
      <c r="AE59" s="133">
        <f>AE57*(AE21/100)</f>
        <v>107614.560393</v>
      </c>
      <c r="AF59" s="138"/>
      <c r="AG59" s="133">
        <f>AG57*(AG21/100)</f>
        <v>127577.936</v>
      </c>
      <c r="AH59" s="133">
        <f>AH57*(AH21/100)</f>
        <v>372704.2287106</v>
      </c>
      <c r="AI59" s="133">
        <f>AI57*(AI21/100)</f>
        <v>164490.795392</v>
      </c>
      <c r="AJ59" s="133">
        <f>AJ57*(AJ21/100)</f>
        <v>92106.084</v>
      </c>
      <c r="AK59" s="138"/>
      <c r="AL59" s="133">
        <f>AL57*(AL21/100)</f>
        <v>85173.486972</v>
      </c>
      <c r="AM59" s="138"/>
      <c r="AN59" s="133">
        <f>AN57*(AN21/100)</f>
        <v>71802.28963199999</v>
      </c>
      <c r="AO59" s="138"/>
      <c r="AP59" s="133">
        <f>AP57*(AP21/100)</f>
        <v>63081.22274999999</v>
      </c>
      <c r="AQ59" s="138"/>
      <c r="AR59" s="133">
        <f>AR57*(AR21/100)</f>
        <v>375944.225958</v>
      </c>
      <c r="AS59" s="133">
        <f>AS57*(AS21/100)</f>
        <v>121537.27648000001</v>
      </c>
      <c r="AT59" s="138"/>
      <c r="AU59" s="133">
        <f>AU57*(AU21/100)</f>
        <v>129001.11795120001</v>
      </c>
      <c r="AV59" s="138"/>
      <c r="AW59" s="133">
        <f>AW57*(AW21/100)</f>
        <v>65543.775</v>
      </c>
      <c r="AX59" s="138"/>
      <c r="AY59" s="133">
        <f>AY57*(AY21/100)</f>
        <v>131031.422357</v>
      </c>
      <c r="AZ59" s="133">
        <f>AZ57*(AZ21/100)</f>
        <v>17623.6635315</v>
      </c>
      <c r="BA59" s="138"/>
      <c r="BB59" s="133">
        <f>BB57*(BB21/100)</f>
        <v>67614.05454499999</v>
      </c>
      <c r="BC59" s="133">
        <f>BC57*(BC21/100)</f>
        <v>58801.434120000005</v>
      </c>
      <c r="BD59" s="138"/>
      <c r="BE59" s="133">
        <f>BE57*(BE21/100)</f>
        <v>59479.88508</v>
      </c>
      <c r="BF59" s="138"/>
      <c r="BG59" s="133">
        <f>BG57*(BG21/100)</f>
        <v>49932.377140000004</v>
      </c>
      <c r="BH59" s="138"/>
      <c r="BI59" s="133">
        <f>BI57*(BI21/100)</f>
        <v>72700.318992</v>
      </c>
      <c r="BJ59" s="138"/>
      <c r="BK59" s="133">
        <f>BK57*(BK21/100)</f>
        <v>616797.108432</v>
      </c>
      <c r="BL59" s="133">
        <f>BL57*(BL21/100)</f>
        <v>92662.854412</v>
      </c>
      <c r="BM59" s="138"/>
      <c r="BN59" s="138"/>
      <c r="BO59" s="133">
        <f>BO57*(BO21/100)</f>
        <v>44822.818395</v>
      </c>
      <c r="BP59" s="133">
        <f>BP57*(BP21/100)</f>
        <v>60246.062745</v>
      </c>
      <c r="BQ59" s="133">
        <f>BQ57*(BQ21/100)</f>
        <v>14988.1615488</v>
      </c>
      <c r="BR59" s="133">
        <f>BR57*(BR21/100)</f>
        <v>20986.563312000002</v>
      </c>
      <c r="BS59" s="133">
        <f>BS57*(BS21/100)</f>
        <v>110.03729</v>
      </c>
      <c r="BT59" s="138"/>
      <c r="BU59" s="138"/>
      <c r="BV59" s="138"/>
      <c r="BW59" s="133">
        <f>BW57*(BW21/100)</f>
        <v>24211.5552768</v>
      </c>
      <c r="BX59" s="133">
        <f>BX57*(BX21/100)</f>
        <v>39661.671154</v>
      </c>
      <c r="BY59" s="133">
        <f>BY57*(BY21/100)</f>
        <v>9230.738</v>
      </c>
      <c r="BZ59" s="138"/>
      <c r="CA59" s="133">
        <f>CA57*(CA21/100)</f>
        <v>56736.259908</v>
      </c>
      <c r="CB59" s="133">
        <f>CB57*(CB21/100)</f>
        <v>0</v>
      </c>
      <c r="CC59" s="133"/>
      <c r="CD59" s="133">
        <f>CD57*(CD21/100)</f>
        <v>44057.456675</v>
      </c>
      <c r="CE59" s="133">
        <f>CE57*(CE21/100)</f>
        <v>12290.279452800001</v>
      </c>
      <c r="CF59" s="138"/>
      <c r="CG59" s="133">
        <f aca="true" t="shared" si="14" ref="CG59:CQ59">CG57*(CG21/100)</f>
        <v>69021.41881</v>
      </c>
      <c r="CH59" s="133">
        <f t="shared" si="14"/>
        <v>41777.32455600001</v>
      </c>
      <c r="CI59" s="133">
        <f t="shared" si="14"/>
        <v>34780.91925</v>
      </c>
      <c r="CJ59" s="133">
        <f t="shared" si="14"/>
        <v>24281.905648</v>
      </c>
      <c r="CK59" s="133">
        <f t="shared" si="14"/>
        <v>28304.117225999995</v>
      </c>
      <c r="CL59" s="133">
        <f t="shared" si="14"/>
        <v>29651.86196</v>
      </c>
      <c r="CM59" s="133">
        <f t="shared" si="14"/>
        <v>24152.860080000002</v>
      </c>
      <c r="CN59" s="133">
        <f t="shared" si="14"/>
        <v>16165.560881000001</v>
      </c>
      <c r="CO59" s="133">
        <f t="shared" si="14"/>
        <v>10031.747000000001</v>
      </c>
      <c r="CP59" s="133">
        <f t="shared" si="14"/>
        <v>76001.968924</v>
      </c>
      <c r="CQ59" s="133">
        <f t="shared" si="14"/>
        <v>0</v>
      </c>
      <c r="CR59" s="138"/>
      <c r="CS59" s="133">
        <f>CS57*(CS21/100)</f>
        <v>23844.620712</v>
      </c>
      <c r="CT59" s="133">
        <f>CT57*(CT21/100)</f>
        <v>1414.696</v>
      </c>
      <c r="CV59" s="133">
        <f aca="true" t="shared" si="15" ref="CV59:CV64">SUM(C59:CT59)</f>
        <v>12525583.526508808</v>
      </c>
      <c r="CW59" s="133"/>
      <c r="CX59" s="9">
        <f t="shared" si="13"/>
        <v>5990852.679246</v>
      </c>
      <c r="CY59" s="9">
        <f aca="true" t="shared" si="16" ref="CY59:CY64">+(C59+K59+M59+Q59+S59+U59+W59+Z59+AB59+AD59+AE59+AG59+AH59+AI59+AJ59+AL59+AN59+AP59+AS59+AU59+AW59+AY59+AZ59+BB59+BC59+BE59+BG59+BI59+BL59+BP59+BQ59+BR59+BW59+BY59+CD59+CE59+CI59+CJ59+CL59+CM59+CQ59+CT59)</f>
        <v>6534730.8472628025</v>
      </c>
      <c r="CZ59" s="133"/>
      <c r="DA59" s="30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</row>
    <row r="60" spans="1:132" ht="12.75">
      <c r="A60" s="47" t="s">
        <v>147</v>
      </c>
      <c r="B60" s="188"/>
      <c r="C60" s="133">
        <f>C57*(C22/100)</f>
        <v>370994.034738</v>
      </c>
      <c r="D60" s="138"/>
      <c r="E60" s="133">
        <f>E57*(E22/100)</f>
        <v>272331.38399999996</v>
      </c>
      <c r="F60" s="138"/>
      <c r="G60" s="138"/>
      <c r="H60" s="138"/>
      <c r="I60" s="138"/>
      <c r="J60" s="138"/>
      <c r="K60" s="133">
        <f>K57*(K22/100)</f>
        <v>461446.11329999997</v>
      </c>
      <c r="L60" s="138"/>
      <c r="M60" s="133">
        <f>M57*(M22/100)</f>
        <v>180829.444565</v>
      </c>
      <c r="N60" s="138"/>
      <c r="O60" s="138"/>
      <c r="P60" s="138"/>
      <c r="Q60" s="133">
        <f>Q57*(Q22/100)</f>
        <v>365001.41579999996</v>
      </c>
      <c r="R60" s="138"/>
      <c r="S60" s="133">
        <f>S57*(S22/100)</f>
        <v>170887.01073599997</v>
      </c>
      <c r="T60" s="138"/>
      <c r="U60" s="133">
        <f>U57*(U22/100)</f>
        <v>58651.4903458</v>
      </c>
      <c r="V60" s="138"/>
      <c r="W60" s="133">
        <f>W57*(W22/100)</f>
        <v>32328.045792000004</v>
      </c>
      <c r="X60" s="138"/>
      <c r="Y60" s="138"/>
      <c r="Z60" s="133">
        <f>Z57*(Z22/100)</f>
        <v>45230.835252000004</v>
      </c>
      <c r="AA60" s="138"/>
      <c r="AB60" s="133">
        <f>AB57*(AB22/100)</f>
        <v>99597.45503</v>
      </c>
      <c r="AC60" s="138"/>
      <c r="AD60" s="133">
        <f>AD57*(AD22/100)</f>
        <v>116366.59383100002</v>
      </c>
      <c r="AE60" s="133">
        <f>AE57*(AE22/100)</f>
        <v>103013.46279899999</v>
      </c>
      <c r="AF60" s="138"/>
      <c r="AG60" s="133">
        <f>AG57*(AG22/100)</f>
        <v>20179.888000000003</v>
      </c>
      <c r="AH60" s="133">
        <f>AH57*(AH22/100)</f>
        <v>106034.5168702</v>
      </c>
      <c r="AI60" s="133">
        <f>AI57*(AI22/100)</f>
        <v>156413.122404</v>
      </c>
      <c r="AJ60" s="133">
        <f>AJ57*(AJ22/100)</f>
        <v>8059.28235</v>
      </c>
      <c r="AK60" s="138"/>
      <c r="AL60" s="133">
        <f>AL57*(AL22/100)</f>
        <v>101722.739622</v>
      </c>
      <c r="AM60" s="138"/>
      <c r="AN60" s="133">
        <f>AN57*(AN22/100)</f>
        <v>967.9230220000001</v>
      </c>
      <c r="AO60" s="138"/>
      <c r="AP60" s="133">
        <f>AP57*(AP22/100)</f>
        <v>1247.76045</v>
      </c>
      <c r="AQ60" s="138"/>
      <c r="AR60" s="133">
        <f>AR57*(AR22/100)</f>
        <v>42624.0619</v>
      </c>
      <c r="AS60" s="133">
        <f>AS57*(AS22/100)</f>
        <v>81865.67491200002</v>
      </c>
      <c r="AT60" s="138"/>
      <c r="AU60" s="133">
        <f>AU57*(AU22/100)</f>
        <v>52867.640727000005</v>
      </c>
      <c r="AV60" s="138"/>
      <c r="AW60" s="133">
        <f>AW57*(AW22/100)</f>
        <v>79.447</v>
      </c>
      <c r="AX60" s="138"/>
      <c r="AY60" s="133">
        <f>AY57*(AY22/100)</f>
        <v>7004.936283399999</v>
      </c>
      <c r="AZ60" s="133">
        <f>AZ57*(AZ22/100)</f>
        <v>14503.715758999999</v>
      </c>
      <c r="BA60" s="138"/>
      <c r="BB60" s="133">
        <f>BB57*(BB22/100)</f>
        <v>39970.078261999995</v>
      </c>
      <c r="BC60" s="133">
        <f>BC57*(BC22/100)</f>
        <v>836.6057699999999</v>
      </c>
      <c r="BD60" s="138"/>
      <c r="BE60" s="133">
        <f>BE57*(BE22/100)</f>
        <v>49135.55724</v>
      </c>
      <c r="BF60" s="138"/>
      <c r="BG60" s="133">
        <f>BG57*(BG22/100)</f>
        <v>4398.188660000001</v>
      </c>
      <c r="BH60" s="138"/>
      <c r="BI60" s="133">
        <f>BI57*(BI22/100)</f>
        <v>24312.50472</v>
      </c>
      <c r="BJ60" s="138"/>
      <c r="BK60" s="133">
        <f>BK57*(BK22/100)</f>
        <v>52709.797872</v>
      </c>
      <c r="BL60" s="133">
        <f>BL57*(BL22/100)</f>
        <v>9187.535140000002</v>
      </c>
      <c r="BM60" s="138"/>
      <c r="BN60" s="138"/>
      <c r="BO60" s="133">
        <f>BO57*(BO22/100)</f>
        <v>104.84869800000001</v>
      </c>
      <c r="BP60" s="133">
        <f>BP57*(BP22/100)</f>
        <v>682.0308990000001</v>
      </c>
      <c r="BQ60" s="133">
        <f>BQ57*(BQ22/100)</f>
        <v>14984.5878336</v>
      </c>
      <c r="BR60" s="133">
        <f>BR57*(BR22/100)</f>
        <v>10236.453083999999</v>
      </c>
      <c r="BS60" s="133">
        <f>BS57*(BS22/100)</f>
        <v>100.80835599999999</v>
      </c>
      <c r="BT60" s="138"/>
      <c r="BU60" s="138"/>
      <c r="BV60" s="138"/>
      <c r="BW60" s="133">
        <f>BW57*(BW22/100)</f>
        <v>965.5236608</v>
      </c>
      <c r="BX60" s="133">
        <f>BX57*(BX22/100)</f>
        <v>2298.452641</v>
      </c>
      <c r="BY60" s="133">
        <f>BY57*(BY22/100)</f>
        <v>0</v>
      </c>
      <c r="BZ60" s="138"/>
      <c r="CA60" s="133">
        <f>CA57*(CA22/100)</f>
        <v>3350.56653</v>
      </c>
      <c r="CB60" s="133">
        <f>CB57*(CB22/100)</f>
        <v>0</v>
      </c>
      <c r="CC60" s="133"/>
      <c r="CD60" s="133">
        <f>CD57*(CD22/100)</f>
        <v>9004.443700000002</v>
      </c>
      <c r="CE60" s="133">
        <f>CE57*(CE22/100)</f>
        <v>421.85699040000003</v>
      </c>
      <c r="CF60" s="138"/>
      <c r="CG60" s="133">
        <f aca="true" t="shared" si="17" ref="CG60:CQ60">CG57*(CG22/100)</f>
        <v>2884.477204</v>
      </c>
      <c r="CH60" s="133">
        <f t="shared" si="17"/>
        <v>7163.547006000001</v>
      </c>
      <c r="CI60" s="133">
        <f t="shared" si="17"/>
        <v>5649.26446</v>
      </c>
      <c r="CJ60" s="133">
        <f t="shared" si="17"/>
        <v>0</v>
      </c>
      <c r="CK60" s="133">
        <f t="shared" si="17"/>
        <v>4492.71702</v>
      </c>
      <c r="CL60" s="133">
        <f t="shared" si="17"/>
        <v>6343.6134999999995</v>
      </c>
      <c r="CM60" s="133">
        <f t="shared" si="17"/>
        <v>1677.2819500000003</v>
      </c>
      <c r="CN60" s="133">
        <f t="shared" si="17"/>
        <v>1459.2325759999999</v>
      </c>
      <c r="CO60" s="133">
        <f t="shared" si="17"/>
        <v>182.39540000000002</v>
      </c>
      <c r="CP60" s="133">
        <f t="shared" si="17"/>
        <v>2447.916177</v>
      </c>
      <c r="CQ60" s="133">
        <f t="shared" si="17"/>
        <v>0</v>
      </c>
      <c r="CR60" s="138"/>
      <c r="CS60" s="133">
        <f>CS57*(CS22/100)</f>
        <v>3885.4870800000003</v>
      </c>
      <c r="CT60" s="133">
        <f>CT57*(CT22/100)</f>
        <v>0</v>
      </c>
      <c r="CV60" s="133">
        <f t="shared" si="15"/>
        <v>3129133.7679181993</v>
      </c>
      <c r="CW60" s="133"/>
      <c r="CX60" s="9">
        <f t="shared" si="13"/>
        <v>396035.6924599999</v>
      </c>
      <c r="CY60" s="9">
        <f t="shared" si="16"/>
        <v>2733098.0754581997</v>
      </c>
      <c r="CZ60" s="133"/>
      <c r="DA60" s="30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</row>
    <row r="61" spans="1:132" ht="12.75">
      <c r="A61" s="47" t="s">
        <v>148</v>
      </c>
      <c r="B61" s="188"/>
      <c r="C61" s="133">
        <f>C57*(C23/100)</f>
        <v>172191.32414</v>
      </c>
      <c r="D61" s="138"/>
      <c r="E61" s="133">
        <f>E57*(E23/100)</f>
        <v>1456656.24</v>
      </c>
      <c r="F61" s="138"/>
      <c r="G61" s="138"/>
      <c r="H61" s="138"/>
      <c r="I61" s="138"/>
      <c r="J61" s="138"/>
      <c r="K61" s="133">
        <f>K57*(K23/100)</f>
        <v>107670.75977</v>
      </c>
      <c r="L61" s="138"/>
      <c r="M61" s="133">
        <f>M57*(M23/100)</f>
        <v>170376.87551500002</v>
      </c>
      <c r="N61" s="138"/>
      <c r="O61" s="138"/>
      <c r="P61" s="138"/>
      <c r="Q61" s="133">
        <f>Q57*(Q23/100)</f>
        <v>95595.6089</v>
      </c>
      <c r="R61" s="138"/>
      <c r="S61" s="133">
        <f>S57*(S23/100)</f>
        <v>42468.961248</v>
      </c>
      <c r="T61" s="138"/>
      <c r="U61" s="133">
        <f>U57*(U23/100)</f>
        <v>17500.0234123</v>
      </c>
      <c r="V61" s="138"/>
      <c r="W61" s="133">
        <f>W57*(W23/100)</f>
        <v>64207.090948000005</v>
      </c>
      <c r="X61" s="138"/>
      <c r="Y61" s="138"/>
      <c r="Z61" s="133">
        <f>Z57*(Z23/100)</f>
        <v>26421.973068</v>
      </c>
      <c r="AA61" s="138"/>
      <c r="AB61" s="133">
        <f>AB57*(AB23/100)</f>
        <v>101525.147708</v>
      </c>
      <c r="AC61" s="138"/>
      <c r="AD61" s="133">
        <f>AD57*(AD23/100)</f>
        <v>32615.814898000004</v>
      </c>
      <c r="AE61" s="133">
        <f>AE57*(AE23/100)</f>
        <v>36297.547686</v>
      </c>
      <c r="AF61" s="138"/>
      <c r="AG61" s="133">
        <f>AG57*(AG23/100)</f>
        <v>22745.128</v>
      </c>
      <c r="AH61" s="133">
        <f>AH57*(AH23/100)</f>
        <v>50178.023173899994</v>
      </c>
      <c r="AI61" s="133">
        <f>AI57*(AI23/100)</f>
        <v>33045.02586</v>
      </c>
      <c r="AJ61" s="133">
        <f>AJ57*(AJ23/100)</f>
        <v>13815.9126</v>
      </c>
      <c r="AK61" s="138"/>
      <c r="AL61" s="133">
        <f>AL57*(AL23/100)</f>
        <v>26920.117643999998</v>
      </c>
      <c r="AM61" s="138"/>
      <c r="AN61" s="133">
        <f>AN57*(AN23/100)</f>
        <v>14694.831333999997</v>
      </c>
      <c r="AO61" s="138"/>
      <c r="AP61" s="133">
        <f>AP57*(AP23/100)</f>
        <v>2911.44105</v>
      </c>
      <c r="AQ61" s="138"/>
      <c r="AR61" s="133">
        <f>AR57*(AR23/100)</f>
        <v>6393.6092849999995</v>
      </c>
      <c r="AS61" s="133">
        <f>AS57*(AS23/100)</f>
        <v>19033.196128000003</v>
      </c>
      <c r="AT61" s="138"/>
      <c r="AU61" s="133">
        <f>AU57*(AU23/100)</f>
        <v>17805.902888400004</v>
      </c>
      <c r="AV61" s="138"/>
      <c r="AW61" s="133">
        <f>AW57*(AW23/100)</f>
        <v>476.682</v>
      </c>
      <c r="AX61" s="138"/>
      <c r="AY61" s="133">
        <f>AY57*(AY23/100)</f>
        <v>38918.2881329</v>
      </c>
      <c r="AZ61" s="133">
        <f>AZ57*(AZ23/100)</f>
        <v>203.6857095</v>
      </c>
      <c r="BA61" s="138"/>
      <c r="BB61" s="133">
        <f>BB57*(BB23/100)</f>
        <v>8017.949831</v>
      </c>
      <c r="BC61" s="133">
        <f>BC57*(BC23/100)</f>
        <v>131.466621</v>
      </c>
      <c r="BD61" s="138"/>
      <c r="BE61" s="133">
        <f>BE57*(BE23/100)</f>
        <v>12930.409800000001</v>
      </c>
      <c r="BF61" s="138"/>
      <c r="BG61" s="133">
        <f>BG57*(BG23/100)</f>
        <v>10025.282975</v>
      </c>
      <c r="BH61" s="138"/>
      <c r="BI61" s="133">
        <f>BI57*(BI23/100)</f>
        <v>20398.784448</v>
      </c>
      <c r="BJ61" s="138"/>
      <c r="BK61" s="133">
        <f>BK57*(BK23/100)</f>
        <v>253376.92310399996</v>
      </c>
      <c r="BL61" s="133">
        <f>BL57*(BL23/100)</f>
        <v>29006.360942000003</v>
      </c>
      <c r="BM61" s="138"/>
      <c r="BN61" s="138"/>
      <c r="BO61" s="133">
        <f>BO57*(BO23/100)</f>
        <v>7496.681907000001</v>
      </c>
      <c r="BP61" s="133">
        <f>BP57*(BP23/100)</f>
        <v>14853.117355999999</v>
      </c>
      <c r="BQ61" s="133">
        <f>BQ57*(BQ23/100)</f>
        <v>4613.6663232</v>
      </c>
      <c r="BR61" s="133">
        <f>BR57*(BR23/100)</f>
        <v>4072.5673560000005</v>
      </c>
      <c r="BS61" s="133">
        <f>BS57*(BS23/100)</f>
        <v>32.301269</v>
      </c>
      <c r="BT61" s="138"/>
      <c r="BU61" s="138"/>
      <c r="BV61" s="138"/>
      <c r="BW61" s="133">
        <f>BW57*(BW23/100)</f>
        <v>947.1577216000001</v>
      </c>
      <c r="BX61" s="133">
        <f>BX57*(BX23/100)</f>
        <v>11492.263205000001</v>
      </c>
      <c r="BY61" s="133">
        <f>BY57*(BY23/100)</f>
        <v>0</v>
      </c>
      <c r="BZ61" s="138"/>
      <c r="CA61" s="133">
        <f>CA57*(CA23/100)</f>
        <v>13625.637222</v>
      </c>
      <c r="CB61" s="133">
        <f>CB57*(CB23/100)</f>
        <v>0</v>
      </c>
      <c r="CC61" s="133"/>
      <c r="CD61" s="133">
        <f>CD57*(CD23/100)</f>
        <v>11191.23717</v>
      </c>
      <c r="CE61" s="133">
        <f>CE57*(CE23/100)</f>
        <v>562.9238184000001</v>
      </c>
      <c r="CF61" s="138"/>
      <c r="CG61" s="133">
        <f aca="true" t="shared" si="18" ref="CG61:CQ61">CG57*(CG23/100)</f>
        <v>30390.027685</v>
      </c>
      <c r="CH61" s="133">
        <f t="shared" si="18"/>
        <v>10956.013068</v>
      </c>
      <c r="CI61" s="133">
        <f t="shared" si="18"/>
        <v>1602.03022</v>
      </c>
      <c r="CJ61" s="133">
        <f t="shared" si="18"/>
        <v>8738.817692</v>
      </c>
      <c r="CK61" s="133">
        <f t="shared" si="18"/>
        <v>7760.14758</v>
      </c>
      <c r="CL61" s="133">
        <f t="shared" si="18"/>
        <v>253.74453999999997</v>
      </c>
      <c r="CM61" s="133">
        <f t="shared" si="18"/>
        <v>7715.496970000001</v>
      </c>
      <c r="CN61" s="133">
        <f t="shared" si="18"/>
        <v>4719.705362999999</v>
      </c>
      <c r="CO61" s="133">
        <f t="shared" si="18"/>
        <v>8025.3976</v>
      </c>
      <c r="CP61" s="133">
        <f t="shared" si="18"/>
        <v>37884.417025</v>
      </c>
      <c r="CQ61" s="133">
        <f t="shared" si="18"/>
        <v>0</v>
      </c>
      <c r="CR61" s="138"/>
      <c r="CS61" s="133">
        <f>CS57*(CS23/100)</f>
        <v>12842.557296</v>
      </c>
      <c r="CT61" s="133">
        <f>CT57*(CT23/100)</f>
        <v>0</v>
      </c>
      <c r="CV61" s="133">
        <f t="shared" si="15"/>
        <v>3104332.297207199</v>
      </c>
      <c r="CW61" s="133"/>
      <c r="CX61" s="9">
        <f t="shared" si="13"/>
        <v>1861651.9216090003</v>
      </c>
      <c r="CY61" s="9">
        <f t="shared" si="16"/>
        <v>1242680.3755982006</v>
      </c>
      <c r="CZ61" s="133"/>
      <c r="DA61" s="30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</row>
    <row r="62" spans="1:132" ht="12.75">
      <c r="A62" s="47" t="s">
        <v>149</v>
      </c>
      <c r="B62" s="188"/>
      <c r="C62" s="133">
        <f>C57*(C24/100)</f>
        <v>43830.518872</v>
      </c>
      <c r="D62" s="138"/>
      <c r="E62" s="133">
        <f>E57*(E24/100)</f>
        <v>12666.576000000001</v>
      </c>
      <c r="F62" s="138"/>
      <c r="G62" s="138"/>
      <c r="H62" s="138"/>
      <c r="I62" s="138"/>
      <c r="J62" s="138"/>
      <c r="K62" s="133">
        <f>K57*(K24/100)</f>
        <v>30763.07422</v>
      </c>
      <c r="L62" s="138"/>
      <c r="M62" s="133">
        <f>M57*(M24/100)</f>
        <v>24040.908815</v>
      </c>
      <c r="N62" s="138"/>
      <c r="O62" s="138"/>
      <c r="P62" s="138"/>
      <c r="Q62" s="133">
        <f>Q57*(Q24/100)</f>
        <v>43452.5495</v>
      </c>
      <c r="R62" s="138"/>
      <c r="S62" s="133">
        <f>S57*(S24/100)</f>
        <v>15673.069032</v>
      </c>
      <c r="T62" s="138"/>
      <c r="U62" s="133">
        <f>U57*(U24/100)</f>
        <v>5827.6611558</v>
      </c>
      <c r="V62" s="138"/>
      <c r="W62" s="133">
        <f>W57*(W24/100)</f>
        <v>898.001272</v>
      </c>
      <c r="X62" s="138"/>
      <c r="Y62" s="138"/>
      <c r="Z62" s="133">
        <f>Z57*(Z24/100)</f>
        <v>3881.1937840000005</v>
      </c>
      <c r="AA62" s="138"/>
      <c r="AB62" s="133">
        <f>AB57*(AB24/100)</f>
        <v>5783.078034000001</v>
      </c>
      <c r="AC62" s="138"/>
      <c r="AD62" s="133">
        <f>AD57*(AD24/100)</f>
        <v>7462.940697000001</v>
      </c>
      <c r="AE62" s="133">
        <f>AE57*(AE24/100)</f>
        <v>8690.962122</v>
      </c>
      <c r="AF62" s="138"/>
      <c r="AG62" s="133">
        <f>AG57*(AG24/100)</f>
        <v>513.048</v>
      </c>
      <c r="AH62" s="133">
        <f>AH57*(AH24/100)</f>
        <v>17035.4115672</v>
      </c>
      <c r="AI62" s="133">
        <f>AI57*(AI24/100)</f>
        <v>13218.010344000002</v>
      </c>
      <c r="AJ62" s="133">
        <f>AJ57*(AJ24/100)</f>
        <v>1151.32605</v>
      </c>
      <c r="AK62" s="138"/>
      <c r="AL62" s="133">
        <f>AL57*(AL24/100)</f>
        <v>6840.357762</v>
      </c>
      <c r="AM62" s="138"/>
      <c r="AN62" s="133">
        <f>AN57*(AN24/100)</f>
        <v>439.96500999999995</v>
      </c>
      <c r="AO62" s="138"/>
      <c r="AP62" s="133">
        <f>AP57*(AP24/100)</f>
        <v>138.64005</v>
      </c>
      <c r="AQ62" s="138"/>
      <c r="AR62" s="133">
        <f>AR57*(AR24/100)</f>
        <v>1278.721857</v>
      </c>
      <c r="AS62" s="133">
        <f>AS57*(AS24/100)</f>
        <v>6879.46848</v>
      </c>
      <c r="AT62" s="138"/>
      <c r="AU62" s="133">
        <f>AU57*(AU24/100)</f>
        <v>4054.2044334</v>
      </c>
      <c r="AV62" s="138"/>
      <c r="AW62" s="133">
        <f>AW57*(AW24/100)</f>
        <v>13347.096000000001</v>
      </c>
      <c r="AX62" s="138"/>
      <c r="AY62" s="133">
        <f>AY57*(AY24/100)</f>
        <v>835.6142266999999</v>
      </c>
      <c r="AZ62" s="133">
        <f>AZ57*(AZ24/100)</f>
        <v>0</v>
      </c>
      <c r="BA62" s="138"/>
      <c r="BB62" s="133">
        <f>BB57*(BB24/100)</f>
        <v>4068.810362</v>
      </c>
      <c r="BC62" s="133">
        <f>BC57*(BC24/100)</f>
        <v>0</v>
      </c>
      <c r="BD62" s="138"/>
      <c r="BE62" s="133">
        <f>BE57*(BE24/100)</f>
        <v>7758.2458799999995</v>
      </c>
      <c r="BF62" s="138"/>
      <c r="BG62" s="133">
        <f>BG57*(BG24/100)</f>
        <v>323.396225</v>
      </c>
      <c r="BH62" s="138"/>
      <c r="BI62" s="133">
        <f>BI57*(BI24/100)</f>
        <v>1185.97584</v>
      </c>
      <c r="BJ62" s="138"/>
      <c r="BK62" s="133">
        <f>BK57*(BK24/100)</f>
        <v>1849.466592</v>
      </c>
      <c r="BL62" s="133">
        <f>BL57*(BL24/100)</f>
        <v>393.751506</v>
      </c>
      <c r="BM62" s="138"/>
      <c r="BN62" s="138"/>
      <c r="BO62" s="133">
        <f>BO57*(BO24/100)</f>
        <v>0</v>
      </c>
      <c r="BP62" s="133">
        <f>BP57*(BP24/100)</f>
        <v>0</v>
      </c>
      <c r="BQ62" s="133">
        <f>BQ57*(BQ24/100)</f>
        <v>1150.7362944000001</v>
      </c>
      <c r="BR62" s="133">
        <f>BR57*(BR24/100)</f>
        <v>1394.212248</v>
      </c>
      <c r="BS62" s="133">
        <f>BS57*(BS24/100)</f>
        <v>111.812085</v>
      </c>
      <c r="BT62" s="138"/>
      <c r="BU62" s="138"/>
      <c r="BV62" s="138"/>
      <c r="BW62" s="133">
        <f>BW57*(BW24/100)</f>
        <v>112.8193408</v>
      </c>
      <c r="BX62" s="133">
        <f>BX57*(BX24/100)</f>
        <v>0</v>
      </c>
      <c r="BY62" s="133">
        <f>BY57*(BY24/100)</f>
        <v>0</v>
      </c>
      <c r="BZ62" s="138"/>
      <c r="CA62" s="133">
        <f>CA57*(CA24/100)</f>
        <v>744.57034</v>
      </c>
      <c r="CB62" s="133">
        <f>CB57*(CB24/100)</f>
        <v>0</v>
      </c>
      <c r="CC62" s="133"/>
      <c r="CD62" s="133">
        <f>CD57*(CD24/100)</f>
        <v>64.31745500000001</v>
      </c>
      <c r="CE62" s="133">
        <f>CE57*(CE24/100)</f>
        <v>159.8757384</v>
      </c>
      <c r="CF62" s="138"/>
      <c r="CG62" s="133">
        <f aca="true" t="shared" si="19" ref="CG62:CQ62">CG57*(CG24/100)</f>
        <v>721.119301</v>
      </c>
      <c r="CH62" s="133">
        <f t="shared" si="19"/>
        <v>300.98937</v>
      </c>
      <c r="CI62" s="133">
        <f t="shared" si="19"/>
        <v>126.47607</v>
      </c>
      <c r="CJ62" s="133">
        <f t="shared" si="19"/>
        <v>333.54266</v>
      </c>
      <c r="CK62" s="133">
        <f t="shared" si="19"/>
        <v>285.90017399999994</v>
      </c>
      <c r="CL62" s="133">
        <f t="shared" si="19"/>
        <v>0</v>
      </c>
      <c r="CM62" s="133">
        <f t="shared" si="19"/>
        <v>0</v>
      </c>
      <c r="CN62" s="133">
        <f t="shared" si="19"/>
        <v>456.01018</v>
      </c>
      <c r="CO62" s="133">
        <f t="shared" si="19"/>
        <v>0</v>
      </c>
      <c r="CP62" s="133">
        <f t="shared" si="19"/>
        <v>233.13487400000002</v>
      </c>
      <c r="CQ62" s="133">
        <f t="shared" si="19"/>
        <v>0</v>
      </c>
      <c r="CR62" s="138"/>
      <c r="CS62" s="133">
        <f>CS57*(CS24/100)</f>
        <v>327.198912</v>
      </c>
      <c r="CT62" s="133">
        <f>CT57*(CT24/100)</f>
        <v>0</v>
      </c>
      <c r="CV62" s="133">
        <f t="shared" si="15"/>
        <v>290804.7587317</v>
      </c>
      <c r="CW62" s="133"/>
      <c r="CX62" s="9">
        <f t="shared" si="13"/>
        <v>18975.499685</v>
      </c>
      <c r="CY62" s="9">
        <f t="shared" si="16"/>
        <v>271829.2590467</v>
      </c>
      <c r="CZ62" s="133"/>
      <c r="DA62" s="30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</row>
    <row r="63" spans="1:132" ht="12.75">
      <c r="A63" s="47" t="s">
        <v>359</v>
      </c>
      <c r="B63" s="188"/>
      <c r="C63" s="133">
        <f>C57*(C25/100)</f>
        <v>0</v>
      </c>
      <c r="D63" s="138"/>
      <c r="E63" s="133">
        <f>E57*(E25/100)</f>
        <v>0</v>
      </c>
      <c r="F63" s="138"/>
      <c r="G63" s="138"/>
      <c r="H63" s="138"/>
      <c r="I63" s="138"/>
      <c r="J63" s="138"/>
      <c r="K63" s="133">
        <f>K57*(K25/100)</f>
        <v>0</v>
      </c>
      <c r="L63" s="138"/>
      <c r="M63" s="133">
        <f>M57*(M25/100)</f>
        <v>13588.339765000002</v>
      </c>
      <c r="N63" s="138"/>
      <c r="O63" s="138"/>
      <c r="P63" s="138"/>
      <c r="Q63" s="133">
        <f>Q57*(Q25/100)</f>
        <v>0</v>
      </c>
      <c r="R63" s="138"/>
      <c r="S63" s="133">
        <f>S57*(S25/100)</f>
        <v>0</v>
      </c>
      <c r="T63" s="138"/>
      <c r="U63" s="133">
        <f>U57*(U25/100)</f>
        <v>0</v>
      </c>
      <c r="V63" s="138"/>
      <c r="W63" s="133">
        <f>W57*(W25/100)</f>
        <v>0</v>
      </c>
      <c r="X63" s="138"/>
      <c r="Y63" s="138"/>
      <c r="Z63" s="133">
        <f>Z57*(Z25/100)</f>
        <v>0</v>
      </c>
      <c r="AA63" s="138"/>
      <c r="AB63" s="133">
        <f>AB57*(AB25/100)</f>
        <v>0</v>
      </c>
      <c r="AC63" s="138"/>
      <c r="AD63" s="133">
        <f>AD57*(AD25/100)</f>
        <v>0</v>
      </c>
      <c r="AE63" s="133">
        <f>AE57*(AE25/100)</f>
        <v>0</v>
      </c>
      <c r="AF63" s="138"/>
      <c r="AG63" s="133">
        <f>AG57*(AG25/100)</f>
        <v>0</v>
      </c>
      <c r="AH63" s="133">
        <f>AH57*(AH25/100)</f>
        <v>0</v>
      </c>
      <c r="AI63" s="133">
        <f>AI57*(AI25/100)</f>
        <v>0</v>
      </c>
      <c r="AJ63" s="133">
        <f>AJ57*(AJ25/100)</f>
        <v>0</v>
      </c>
      <c r="AK63" s="138"/>
      <c r="AL63" s="133">
        <f>AL57*(AL25/100)</f>
        <v>0</v>
      </c>
      <c r="AM63" s="138"/>
      <c r="AN63" s="133">
        <f>AN57*(AN25/100)</f>
        <v>87.99300199999999</v>
      </c>
      <c r="AO63" s="138"/>
      <c r="AP63" s="133">
        <f>AP57*(AP25/100)</f>
        <v>1940.9606999999996</v>
      </c>
      <c r="AQ63" s="138"/>
      <c r="AR63" s="133">
        <f>AR57*(AR25/100)</f>
        <v>0</v>
      </c>
      <c r="AS63" s="133">
        <f>AS57*(AS25/100)</f>
        <v>0</v>
      </c>
      <c r="AT63" s="138"/>
      <c r="AU63" s="133">
        <f>AU57*(AU25/100)</f>
        <v>0</v>
      </c>
      <c r="AV63" s="138"/>
      <c r="AW63" s="133">
        <f>AW57*(AW25/100)</f>
        <v>0</v>
      </c>
      <c r="AX63" s="138"/>
      <c r="AY63" s="133">
        <f>AY57*(AY25/100)</f>
        <v>0</v>
      </c>
      <c r="AZ63" s="133">
        <f>AZ57*(AZ25/100)</f>
        <v>0</v>
      </c>
      <c r="BA63" s="138"/>
      <c r="BB63" s="133">
        <f>BB57*(BB25/100)</f>
        <v>0</v>
      </c>
      <c r="BC63" s="133">
        <f>BC57*(BC25/100)</f>
        <v>0</v>
      </c>
      <c r="BD63" s="138"/>
      <c r="BE63" s="133">
        <f>BE57*(BE25/100)</f>
        <v>0</v>
      </c>
      <c r="BF63" s="138"/>
      <c r="BG63" s="133">
        <f>BG57*(BG25/100)</f>
        <v>0</v>
      </c>
      <c r="BH63" s="138"/>
      <c r="BI63" s="133">
        <f>BI57*(BI25/100)</f>
        <v>0</v>
      </c>
      <c r="BJ63" s="138"/>
      <c r="BK63" s="133">
        <f>BK57*(BK25/100)</f>
        <v>0</v>
      </c>
      <c r="BL63" s="133">
        <f>BL57*(BL25/100)</f>
        <v>0</v>
      </c>
      <c r="BM63" s="138"/>
      <c r="BN63" s="138"/>
      <c r="BO63" s="133">
        <f>BO57*(BO25/100)</f>
        <v>0</v>
      </c>
      <c r="BP63" s="133">
        <f>BP57*(BP25/100)</f>
        <v>0</v>
      </c>
      <c r="BQ63" s="133">
        <f>BQ57*(BQ25/100)</f>
        <v>0</v>
      </c>
      <c r="BR63" s="133">
        <f>BR57*(BR25/100)</f>
        <v>0</v>
      </c>
      <c r="BS63" s="133">
        <f>BS57*(BS25/100)</f>
        <v>0</v>
      </c>
      <c r="BT63" s="138"/>
      <c r="BU63" s="138"/>
      <c r="BV63" s="138"/>
      <c r="BW63" s="133">
        <f>BW57*(BW25/100)</f>
        <v>0</v>
      </c>
      <c r="BX63" s="133">
        <f>BX57*(BX25/100)</f>
        <v>0</v>
      </c>
      <c r="BY63" s="133">
        <f>BY57*(BY25/100)</f>
        <v>0</v>
      </c>
      <c r="BZ63" s="138"/>
      <c r="CA63" s="133">
        <f>CA57*(CA25/100)</f>
        <v>0</v>
      </c>
      <c r="CB63" s="133">
        <f>CB57*(CB25/100)</f>
        <v>0</v>
      </c>
      <c r="CC63" s="133"/>
      <c r="CD63" s="133">
        <f>CD57*(CD25/100)</f>
        <v>0</v>
      </c>
      <c r="CE63" s="133">
        <f>CE57*(CE25/100)</f>
        <v>0</v>
      </c>
      <c r="CF63" s="138"/>
      <c r="CG63" s="133">
        <f aca="true" t="shared" si="20" ref="CG63:CQ63">CG57*(CG25/100)</f>
        <v>0</v>
      </c>
      <c r="CH63" s="133">
        <f t="shared" si="20"/>
        <v>0</v>
      </c>
      <c r="CI63" s="133">
        <f t="shared" si="20"/>
        <v>0</v>
      </c>
      <c r="CJ63" s="133">
        <f t="shared" si="20"/>
        <v>0</v>
      </c>
      <c r="CK63" s="133">
        <f t="shared" si="20"/>
        <v>0</v>
      </c>
      <c r="CL63" s="133">
        <f t="shared" si="20"/>
        <v>0</v>
      </c>
      <c r="CM63" s="133">
        <f t="shared" si="20"/>
        <v>0</v>
      </c>
      <c r="CN63" s="133">
        <f t="shared" si="20"/>
        <v>0</v>
      </c>
      <c r="CO63" s="133">
        <f t="shared" si="20"/>
        <v>0</v>
      </c>
      <c r="CP63" s="133">
        <f t="shared" si="20"/>
        <v>0</v>
      </c>
      <c r="CQ63" s="133">
        <f t="shared" si="20"/>
        <v>0</v>
      </c>
      <c r="CR63" s="138"/>
      <c r="CS63" s="133">
        <f>CS57*(CS25/100)</f>
        <v>0</v>
      </c>
      <c r="CT63" s="133">
        <f>CT57*(CT25/100)</f>
        <v>0</v>
      </c>
      <c r="CV63" s="133">
        <f t="shared" si="15"/>
        <v>15617.293467000001</v>
      </c>
      <c r="CW63" s="133"/>
      <c r="CX63" s="9">
        <f t="shared" si="13"/>
        <v>0</v>
      </c>
      <c r="CY63" s="9">
        <f t="shared" si="16"/>
        <v>15617.293467000001</v>
      </c>
      <c r="CZ63" s="133"/>
      <c r="DA63" s="30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</row>
    <row r="64" spans="1:132" ht="12.75">
      <c r="A64" s="8" t="s">
        <v>150</v>
      </c>
      <c r="B64" s="188"/>
      <c r="C64" s="133">
        <f>SUM(C59:C63)</f>
        <v>1565375.674</v>
      </c>
      <c r="D64" s="138"/>
      <c r="E64" s="133">
        <f>SUM(E59:E63)</f>
        <v>6333288</v>
      </c>
      <c r="F64" s="138"/>
      <c r="G64" s="138"/>
      <c r="H64" s="138"/>
      <c r="I64" s="138"/>
      <c r="J64" s="138"/>
      <c r="K64" s="133">
        <f>SUM(K59:K63)</f>
        <v>1538153.711</v>
      </c>
      <c r="L64" s="138"/>
      <c r="M64" s="133">
        <f>SUM(M59:M63)</f>
        <v>1045256.9050000001</v>
      </c>
      <c r="N64" s="138"/>
      <c r="O64" s="138"/>
      <c r="P64" s="138"/>
      <c r="Q64" s="133">
        <f>SUM(Q59:Q63)</f>
        <v>869050.9899999999</v>
      </c>
      <c r="R64" s="138"/>
      <c r="S64" s="133">
        <f>SUM(S59:S63)</f>
        <v>505582.872</v>
      </c>
      <c r="T64" s="138"/>
      <c r="U64" s="133">
        <f>SUM(U59:U63)</f>
        <v>170399.44900000002</v>
      </c>
      <c r="V64" s="138"/>
      <c r="W64" s="133">
        <f>SUM(W59:W63)</f>
        <v>449000.63600000006</v>
      </c>
      <c r="X64" s="138"/>
      <c r="Y64" s="138"/>
      <c r="Z64" s="133">
        <f aca="true" t="shared" si="21" ref="Z64:BS64">SUM(Z59:Z63)</f>
        <v>149276.684</v>
      </c>
      <c r="AA64" s="138"/>
      <c r="AB64" s="133">
        <f t="shared" si="21"/>
        <v>642564.226</v>
      </c>
      <c r="AC64" s="138"/>
      <c r="AD64" s="133">
        <f t="shared" si="21"/>
        <v>276405.211</v>
      </c>
      <c r="AE64" s="133">
        <f t="shared" si="21"/>
        <v>255616.533</v>
      </c>
      <c r="AF64" s="138"/>
      <c r="AG64" s="133">
        <f t="shared" si="21"/>
        <v>171016</v>
      </c>
      <c r="AH64" s="133">
        <f t="shared" si="21"/>
        <v>545952.1803218999</v>
      </c>
      <c r="AI64" s="133">
        <f t="shared" si="21"/>
        <v>367166.954</v>
      </c>
      <c r="AJ64" s="133">
        <f t="shared" si="21"/>
        <v>115132.605</v>
      </c>
      <c r="AK64" s="138"/>
      <c r="AL64" s="133">
        <f t="shared" si="21"/>
        <v>220656.702</v>
      </c>
      <c r="AM64" s="138"/>
      <c r="AN64" s="133">
        <f t="shared" si="21"/>
        <v>87993.002</v>
      </c>
      <c r="AO64" s="138"/>
      <c r="AP64" s="133">
        <f t="shared" si="21"/>
        <v>69320.025</v>
      </c>
      <c r="AQ64" s="138"/>
      <c r="AR64" s="133">
        <f t="shared" si="21"/>
        <v>426240.61900000006</v>
      </c>
      <c r="AS64" s="133">
        <f t="shared" si="21"/>
        <v>229315.61600000004</v>
      </c>
      <c r="AT64" s="138"/>
      <c r="AU64" s="133">
        <f t="shared" si="21"/>
        <v>203728.86600000004</v>
      </c>
      <c r="AV64" s="138"/>
      <c r="AW64" s="133">
        <f t="shared" si="21"/>
        <v>79447</v>
      </c>
      <c r="AX64" s="138"/>
      <c r="AY64" s="133">
        <f t="shared" si="21"/>
        <v>177790.261</v>
      </c>
      <c r="AZ64" s="133">
        <f t="shared" si="21"/>
        <v>32331.065</v>
      </c>
      <c r="BA64" s="138"/>
      <c r="BB64" s="133">
        <f t="shared" si="21"/>
        <v>119670.893</v>
      </c>
      <c r="BC64" s="133">
        <f t="shared" si="21"/>
        <v>59769.50651100001</v>
      </c>
      <c r="BD64" s="138"/>
      <c r="BE64" s="133">
        <f t="shared" si="21"/>
        <v>129304.098</v>
      </c>
      <c r="BF64" s="138"/>
      <c r="BG64" s="133">
        <f t="shared" si="21"/>
        <v>64679.245</v>
      </c>
      <c r="BH64" s="138"/>
      <c r="BI64" s="133">
        <f t="shared" si="21"/>
        <v>118597.584</v>
      </c>
      <c r="BJ64" s="138"/>
      <c r="BK64" s="133">
        <f t="shared" si="21"/>
        <v>924733.296</v>
      </c>
      <c r="BL64" s="133">
        <f t="shared" si="21"/>
        <v>131250.502</v>
      </c>
      <c r="BM64" s="138"/>
      <c r="BN64" s="138"/>
      <c r="BO64" s="133">
        <f t="shared" si="21"/>
        <v>52424.349</v>
      </c>
      <c r="BP64" s="133">
        <f t="shared" si="21"/>
        <v>75781.211</v>
      </c>
      <c r="BQ64" s="133">
        <f t="shared" si="21"/>
        <v>35737.152</v>
      </c>
      <c r="BR64" s="133">
        <f t="shared" si="21"/>
        <v>36689.796</v>
      </c>
      <c r="BS64" s="133">
        <f t="shared" si="21"/>
        <v>354.95899999999995</v>
      </c>
      <c r="BT64" s="138"/>
      <c r="BU64" s="138"/>
      <c r="BV64" s="138"/>
      <c r="BW64" s="133">
        <f>SUM(BW59:BW63)</f>
        <v>26237.056000000004</v>
      </c>
      <c r="BX64" s="133">
        <f>SUM(BX59:BX63)</f>
        <v>53452.38700000001</v>
      </c>
      <c r="BY64" s="133">
        <f>SUM(BY59:BY63)</f>
        <v>9230.738</v>
      </c>
      <c r="BZ64" s="138"/>
      <c r="CA64" s="133">
        <f>SUM(CA59:CA63)</f>
        <v>74457.03400000001</v>
      </c>
      <c r="CB64" s="133">
        <f>SUM(CB59:CB63)</f>
        <v>0</v>
      </c>
      <c r="CC64" s="133"/>
      <c r="CD64" s="133">
        <f aca="true" t="shared" si="22" ref="CD64:CT64">SUM(CD59:CD63)</f>
        <v>64317.455</v>
      </c>
      <c r="CE64" s="133">
        <f t="shared" si="22"/>
        <v>13434.936000000002</v>
      </c>
      <c r="CF64" s="138"/>
      <c r="CG64" s="133">
        <f t="shared" si="22"/>
        <v>103017.043</v>
      </c>
      <c r="CH64" s="133">
        <f t="shared" si="22"/>
        <v>60197.87400000001</v>
      </c>
      <c r="CI64" s="133">
        <f t="shared" si="22"/>
        <v>42158.689999999995</v>
      </c>
      <c r="CJ64" s="133">
        <f t="shared" si="22"/>
        <v>33354.265999999996</v>
      </c>
      <c r="CK64" s="133">
        <f t="shared" si="22"/>
        <v>40842.882</v>
      </c>
      <c r="CL64" s="133">
        <f t="shared" si="22"/>
        <v>36249.22</v>
      </c>
      <c r="CM64" s="133">
        <f t="shared" si="22"/>
        <v>33545.639</v>
      </c>
      <c r="CN64" s="133">
        <f t="shared" si="22"/>
        <v>22800.509000000002</v>
      </c>
      <c r="CO64" s="133">
        <f t="shared" si="22"/>
        <v>18239.54</v>
      </c>
      <c r="CP64" s="133">
        <f t="shared" si="22"/>
        <v>116567.437</v>
      </c>
      <c r="CQ64" s="133">
        <f t="shared" si="22"/>
        <v>0</v>
      </c>
      <c r="CR64" s="138"/>
      <c r="CS64" s="133">
        <f t="shared" si="22"/>
        <v>40899.864</v>
      </c>
      <c r="CT64" s="133">
        <f t="shared" si="22"/>
        <v>1414.696</v>
      </c>
      <c r="CV64" s="133">
        <f t="shared" si="15"/>
        <v>19065471.643832896</v>
      </c>
      <c r="CW64" s="133"/>
      <c r="CX64" s="9">
        <f t="shared" si="13"/>
        <v>8267515.793</v>
      </c>
      <c r="CY64" s="9">
        <f t="shared" si="16"/>
        <v>10797955.850832904</v>
      </c>
      <c r="CZ64" s="133"/>
      <c r="DA64" s="30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</row>
    <row r="65" spans="1:132" ht="12.75">
      <c r="A65" s="47"/>
      <c r="B65" s="188"/>
      <c r="C65" s="133"/>
      <c r="D65" s="55"/>
      <c r="E65" s="31"/>
      <c r="F65" s="55"/>
      <c r="G65" s="55"/>
      <c r="H65" s="55"/>
      <c r="I65" s="55"/>
      <c r="J65" s="55"/>
      <c r="K65" s="31"/>
      <c r="L65" s="55"/>
      <c r="M65" s="31"/>
      <c r="N65" s="55"/>
      <c r="O65" s="55"/>
      <c r="P65" s="55"/>
      <c r="Q65" s="31"/>
      <c r="R65" s="55"/>
      <c r="S65" s="31"/>
      <c r="T65" s="55"/>
      <c r="U65" s="31"/>
      <c r="V65" s="55"/>
      <c r="W65" s="31"/>
      <c r="X65" s="55"/>
      <c r="Y65" s="55"/>
      <c r="Z65" s="31"/>
      <c r="AA65" s="55"/>
      <c r="AB65" s="31"/>
      <c r="AC65" s="55"/>
      <c r="AD65" s="31"/>
      <c r="AE65" s="31"/>
      <c r="AF65" s="55"/>
      <c r="AG65" s="31"/>
      <c r="AH65" s="31"/>
      <c r="AI65" s="31"/>
      <c r="AJ65" s="31"/>
      <c r="AK65" s="55"/>
      <c r="AL65" s="31"/>
      <c r="AM65" s="55"/>
      <c r="AN65" s="31"/>
      <c r="AO65" s="55"/>
      <c r="AP65" s="31"/>
      <c r="AQ65" s="55"/>
      <c r="AR65" s="31"/>
      <c r="AS65" s="31"/>
      <c r="AT65" s="55"/>
      <c r="AU65" s="31"/>
      <c r="AV65" s="55"/>
      <c r="AW65" s="31"/>
      <c r="AX65" s="55"/>
      <c r="AY65" s="31"/>
      <c r="AZ65" s="31"/>
      <c r="BA65" s="55"/>
      <c r="BB65" s="31"/>
      <c r="BC65" s="31"/>
      <c r="BD65" s="55"/>
      <c r="BE65" s="31"/>
      <c r="BF65" s="55"/>
      <c r="BG65" s="31"/>
      <c r="BH65" s="55"/>
      <c r="BI65" s="31"/>
      <c r="BJ65" s="55"/>
      <c r="BK65" s="31"/>
      <c r="BL65" s="31"/>
      <c r="BM65" s="55"/>
      <c r="BN65" s="55"/>
      <c r="BO65" s="31"/>
      <c r="BP65" s="31"/>
      <c r="BQ65" s="31"/>
      <c r="BR65" s="31"/>
      <c r="BS65" s="31"/>
      <c r="BT65" s="55"/>
      <c r="BU65" s="55"/>
      <c r="BV65" s="55"/>
      <c r="BW65" s="31"/>
      <c r="BX65" s="31"/>
      <c r="BY65" s="31"/>
      <c r="BZ65" s="55"/>
      <c r="CA65" s="31"/>
      <c r="CB65" s="55"/>
      <c r="CC65" s="55"/>
      <c r="CD65" s="31"/>
      <c r="CE65" s="31"/>
      <c r="CF65" s="55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55"/>
      <c r="CS65" s="31"/>
      <c r="CT65" s="31"/>
      <c r="CV65" s="30">
        <f>SUM(CV59:CV63)</f>
        <v>19065471.643832907</v>
      </c>
      <c r="CW65" s="30">
        <f>SUM(CW59:CW63)</f>
        <v>0</v>
      </c>
      <c r="CX65" s="30">
        <f>SUM(CX59:CX63)</f>
        <v>8267515.793</v>
      </c>
      <c r="CY65" s="30">
        <f>SUM(CY59:CY63)</f>
        <v>10797955.850832902</v>
      </c>
      <c r="CZ65" s="30"/>
      <c r="DA65" s="30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</row>
    <row r="66" spans="3:138" ht="12.75">
      <c r="C66" s="133">
        <f>+C57-C64</f>
        <v>0</v>
      </c>
      <c r="D66" s="133">
        <f aca="true" t="shared" si="23" ref="D66:BO66">+D57-D64</f>
        <v>0</v>
      </c>
      <c r="E66" s="133">
        <f t="shared" si="23"/>
        <v>0</v>
      </c>
      <c r="F66" s="133">
        <f t="shared" si="23"/>
        <v>0</v>
      </c>
      <c r="G66" s="133">
        <f t="shared" si="23"/>
        <v>0</v>
      </c>
      <c r="H66" s="133">
        <f>+H57-H64</f>
        <v>0</v>
      </c>
      <c r="I66" s="133">
        <f t="shared" si="23"/>
        <v>0</v>
      </c>
      <c r="J66" s="133">
        <f t="shared" si="23"/>
        <v>0</v>
      </c>
      <c r="K66" s="133">
        <f t="shared" si="23"/>
        <v>0</v>
      </c>
      <c r="L66" s="133">
        <f t="shared" si="23"/>
        <v>0</v>
      </c>
      <c r="M66" s="133">
        <f t="shared" si="23"/>
        <v>0</v>
      </c>
      <c r="N66" s="133">
        <f t="shared" si="23"/>
        <v>0</v>
      </c>
      <c r="O66" s="133">
        <f t="shared" si="23"/>
        <v>0</v>
      </c>
      <c r="P66" s="133">
        <f t="shared" si="23"/>
        <v>0</v>
      </c>
      <c r="Q66" s="133">
        <f t="shared" si="23"/>
        <v>0</v>
      </c>
      <c r="R66" s="133">
        <f t="shared" si="23"/>
        <v>0</v>
      </c>
      <c r="S66" s="133">
        <f t="shared" si="23"/>
        <v>0</v>
      </c>
      <c r="T66" s="133">
        <f t="shared" si="23"/>
        <v>0</v>
      </c>
      <c r="U66" s="133">
        <f t="shared" si="23"/>
        <v>0</v>
      </c>
      <c r="V66" s="133">
        <f t="shared" si="23"/>
        <v>0</v>
      </c>
      <c r="W66" s="133">
        <f t="shared" si="23"/>
        <v>0</v>
      </c>
      <c r="X66" s="133">
        <f t="shared" si="23"/>
        <v>0</v>
      </c>
      <c r="Y66" s="133">
        <f t="shared" si="23"/>
        <v>0</v>
      </c>
      <c r="Z66" s="133">
        <f t="shared" si="23"/>
        <v>0</v>
      </c>
      <c r="AA66" s="133">
        <f t="shared" si="23"/>
        <v>0</v>
      </c>
      <c r="AB66" s="133">
        <f t="shared" si="23"/>
        <v>0</v>
      </c>
      <c r="AC66" s="133">
        <f t="shared" si="23"/>
        <v>0</v>
      </c>
      <c r="AD66" s="133">
        <f t="shared" si="23"/>
        <v>0</v>
      </c>
      <c r="AE66" s="133">
        <f t="shared" si="23"/>
        <v>0</v>
      </c>
      <c r="AF66" s="133">
        <f t="shared" si="23"/>
        <v>0</v>
      </c>
      <c r="AG66" s="133">
        <f t="shared" si="23"/>
        <v>0</v>
      </c>
      <c r="AH66" s="133">
        <f t="shared" si="23"/>
        <v>54.60067810001783</v>
      </c>
      <c r="AI66" s="133">
        <f t="shared" si="23"/>
        <v>0</v>
      </c>
      <c r="AJ66" s="133">
        <f t="shared" si="23"/>
        <v>0</v>
      </c>
      <c r="AK66" s="133">
        <f t="shared" si="23"/>
        <v>0</v>
      </c>
      <c r="AL66" s="133">
        <f t="shared" si="23"/>
        <v>0</v>
      </c>
      <c r="AM66" s="133">
        <f t="shared" si="23"/>
        <v>0</v>
      </c>
      <c r="AN66" s="133">
        <f t="shared" si="23"/>
        <v>0</v>
      </c>
      <c r="AO66" s="133">
        <f t="shared" si="23"/>
        <v>0</v>
      </c>
      <c r="AP66" s="133">
        <f t="shared" si="23"/>
        <v>0</v>
      </c>
      <c r="AQ66" s="133">
        <f t="shared" si="23"/>
        <v>0</v>
      </c>
      <c r="AR66" s="133">
        <f t="shared" si="23"/>
        <v>0</v>
      </c>
      <c r="AS66" s="133">
        <f t="shared" si="23"/>
        <v>0</v>
      </c>
      <c r="AT66" s="133">
        <f t="shared" si="23"/>
        <v>0</v>
      </c>
      <c r="AU66" s="133">
        <f t="shared" si="23"/>
        <v>0</v>
      </c>
      <c r="AV66" s="133">
        <f t="shared" si="23"/>
        <v>0</v>
      </c>
      <c r="AW66" s="133">
        <f t="shared" si="23"/>
        <v>0</v>
      </c>
      <c r="AX66" s="133">
        <f t="shared" si="23"/>
        <v>0</v>
      </c>
      <c r="AY66" s="133">
        <f t="shared" si="23"/>
        <v>0</v>
      </c>
      <c r="AZ66" s="133">
        <f t="shared" si="23"/>
        <v>0</v>
      </c>
      <c r="BA66" s="133">
        <f t="shared" si="23"/>
        <v>0</v>
      </c>
      <c r="BB66" s="133">
        <f t="shared" si="23"/>
        <v>0</v>
      </c>
      <c r="BC66" s="133">
        <f t="shared" si="23"/>
        <v>-11.951511000006576</v>
      </c>
      <c r="BD66" s="133">
        <f t="shared" si="23"/>
        <v>0</v>
      </c>
      <c r="BE66" s="133">
        <f t="shared" si="23"/>
        <v>0</v>
      </c>
      <c r="BF66" s="133">
        <f t="shared" si="23"/>
        <v>0</v>
      </c>
      <c r="BG66" s="133">
        <f t="shared" si="23"/>
        <v>0</v>
      </c>
      <c r="BH66" s="133">
        <f t="shared" si="23"/>
        <v>0</v>
      </c>
      <c r="BI66" s="133">
        <f t="shared" si="23"/>
        <v>0</v>
      </c>
      <c r="BJ66" s="133">
        <f t="shared" si="23"/>
        <v>0</v>
      </c>
      <c r="BK66" s="133">
        <f t="shared" si="23"/>
        <v>0</v>
      </c>
      <c r="BL66" s="133">
        <f t="shared" si="23"/>
        <v>0</v>
      </c>
      <c r="BM66" s="133">
        <f t="shared" si="23"/>
        <v>0</v>
      </c>
      <c r="BN66" s="133">
        <f t="shared" si="23"/>
        <v>0</v>
      </c>
      <c r="BO66" s="133">
        <f t="shared" si="23"/>
        <v>0</v>
      </c>
      <c r="BP66" s="133">
        <f aca="true" t="shared" si="24" ref="BP66:CT66">+BP57-BP64</f>
        <v>0</v>
      </c>
      <c r="BQ66" s="133">
        <f t="shared" si="24"/>
        <v>0</v>
      </c>
      <c r="BR66" s="133">
        <f t="shared" si="24"/>
        <v>0</v>
      </c>
      <c r="BS66" s="133">
        <f t="shared" si="24"/>
        <v>0</v>
      </c>
      <c r="BT66" s="133">
        <f t="shared" si="24"/>
        <v>0</v>
      </c>
      <c r="BU66" s="133">
        <f t="shared" si="24"/>
        <v>0</v>
      </c>
      <c r="BV66" s="133">
        <f t="shared" si="24"/>
        <v>0</v>
      </c>
      <c r="BW66" s="133">
        <f t="shared" si="24"/>
        <v>0</v>
      </c>
      <c r="BX66" s="133">
        <f t="shared" si="24"/>
        <v>0</v>
      </c>
      <c r="BY66" s="133">
        <f t="shared" si="24"/>
        <v>0</v>
      </c>
      <c r="BZ66" s="133">
        <f t="shared" si="24"/>
        <v>0</v>
      </c>
      <c r="CA66" s="133">
        <f t="shared" si="24"/>
        <v>0</v>
      </c>
      <c r="CB66" s="133">
        <f t="shared" si="24"/>
        <v>0</v>
      </c>
      <c r="CC66" s="133">
        <f t="shared" si="24"/>
        <v>0</v>
      </c>
      <c r="CD66" s="133">
        <f t="shared" si="24"/>
        <v>0</v>
      </c>
      <c r="CE66" s="133">
        <f t="shared" si="24"/>
        <v>0</v>
      </c>
      <c r="CF66" s="133">
        <f t="shared" si="24"/>
        <v>0</v>
      </c>
      <c r="CG66" s="133">
        <f t="shared" si="24"/>
        <v>0</v>
      </c>
      <c r="CH66" s="133">
        <f t="shared" si="24"/>
        <v>0</v>
      </c>
      <c r="CI66" s="133">
        <f t="shared" si="24"/>
        <v>0</v>
      </c>
      <c r="CJ66" s="133">
        <f t="shared" si="24"/>
        <v>0</v>
      </c>
      <c r="CK66" s="133">
        <f t="shared" si="24"/>
        <v>0</v>
      </c>
      <c r="CL66" s="133">
        <f t="shared" si="24"/>
        <v>0</v>
      </c>
      <c r="CM66" s="133">
        <f t="shared" si="24"/>
        <v>0</v>
      </c>
      <c r="CN66" s="133">
        <f t="shared" si="24"/>
        <v>0</v>
      </c>
      <c r="CO66" s="133">
        <f t="shared" si="24"/>
        <v>0</v>
      </c>
      <c r="CP66" s="133">
        <f t="shared" si="24"/>
        <v>0</v>
      </c>
      <c r="CQ66" s="133">
        <f t="shared" si="24"/>
        <v>0</v>
      </c>
      <c r="CR66" s="133">
        <f t="shared" si="24"/>
        <v>0</v>
      </c>
      <c r="CS66" s="133">
        <f t="shared" si="24"/>
        <v>0</v>
      </c>
      <c r="CT66" s="133">
        <f t="shared" si="24"/>
        <v>0</v>
      </c>
      <c r="CV66" s="133"/>
      <c r="CW66" s="133"/>
      <c r="CX66" s="33"/>
      <c r="CY66" s="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</row>
    <row r="67" spans="1:138" ht="12.75">
      <c r="A67" s="86"/>
      <c r="C67" s="133"/>
      <c r="D67" s="138"/>
      <c r="E67" s="133"/>
      <c r="F67" s="138"/>
      <c r="G67" s="138"/>
      <c r="H67" s="138"/>
      <c r="I67" s="138"/>
      <c r="J67" s="138"/>
      <c r="K67" s="133"/>
      <c r="L67" s="138"/>
      <c r="M67" s="133"/>
      <c r="N67" s="138"/>
      <c r="O67" s="138"/>
      <c r="P67" s="138"/>
      <c r="Q67" s="133"/>
      <c r="R67" s="138"/>
      <c r="S67" s="133"/>
      <c r="T67" s="138"/>
      <c r="U67" s="133"/>
      <c r="V67" s="138"/>
      <c r="W67" s="133"/>
      <c r="X67" s="138"/>
      <c r="Y67" s="138"/>
      <c r="Z67" s="133"/>
      <c r="AA67" s="138"/>
      <c r="AB67" s="133"/>
      <c r="AC67" s="138"/>
      <c r="AD67" s="133"/>
      <c r="AE67" s="133"/>
      <c r="AF67" s="138"/>
      <c r="AG67" s="133"/>
      <c r="AH67" s="133"/>
      <c r="AI67" s="133"/>
      <c r="AJ67" s="133"/>
      <c r="AK67" s="138"/>
      <c r="AL67" s="133"/>
      <c r="AM67" s="138"/>
      <c r="AN67" s="133"/>
      <c r="AO67" s="138"/>
      <c r="AP67" s="133"/>
      <c r="AQ67" s="138"/>
      <c r="AR67" s="133"/>
      <c r="AS67" s="133"/>
      <c r="AT67" s="138"/>
      <c r="AU67" s="133"/>
      <c r="AV67" s="138"/>
      <c r="AW67" s="133"/>
      <c r="AX67" s="138"/>
      <c r="AY67" s="133"/>
      <c r="AZ67" s="133"/>
      <c r="BA67" s="138"/>
      <c r="BB67" s="133"/>
      <c r="BC67" s="133"/>
      <c r="BD67" s="138"/>
      <c r="BE67" s="133"/>
      <c r="BF67" s="138"/>
      <c r="BG67" s="133"/>
      <c r="BH67" s="138"/>
      <c r="BI67" s="133"/>
      <c r="BJ67" s="138"/>
      <c r="BK67" s="133"/>
      <c r="BL67" s="133"/>
      <c r="BM67" s="138"/>
      <c r="BN67" s="138"/>
      <c r="BO67" s="133"/>
      <c r="BP67" s="133"/>
      <c r="BQ67" s="133"/>
      <c r="BR67" s="133"/>
      <c r="BS67" s="133"/>
      <c r="BT67" s="138"/>
      <c r="BU67" s="138"/>
      <c r="BV67" s="138"/>
      <c r="BW67" s="133"/>
      <c r="BX67" s="133"/>
      <c r="BY67" s="133"/>
      <c r="BZ67" s="138"/>
      <c r="CA67" s="133"/>
      <c r="CB67" s="138"/>
      <c r="CC67" s="138"/>
      <c r="CD67" s="133"/>
      <c r="CE67" s="133"/>
      <c r="CF67" s="138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8"/>
      <c r="CS67" s="133"/>
      <c r="CT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</row>
    <row r="68" spans="1:138" ht="12.75">
      <c r="A68" s="47"/>
      <c r="C68" s="133"/>
      <c r="D68" s="138"/>
      <c r="E68" s="133"/>
      <c r="F68" s="138"/>
      <c r="G68" s="138"/>
      <c r="H68" s="138"/>
      <c r="I68" s="138"/>
      <c r="J68" s="138"/>
      <c r="K68" s="133"/>
      <c r="L68" s="138"/>
      <c r="M68" s="133"/>
      <c r="N68" s="138"/>
      <c r="O68" s="138"/>
      <c r="P68" s="138"/>
      <c r="Q68" s="133"/>
      <c r="R68" s="138"/>
      <c r="S68" s="133"/>
      <c r="T68" s="138"/>
      <c r="U68" s="133"/>
      <c r="V68" s="138"/>
      <c r="W68" s="133"/>
      <c r="X68" s="138"/>
      <c r="Y68" s="138"/>
      <c r="Z68" s="133"/>
      <c r="AA68" s="138"/>
      <c r="AB68" s="133"/>
      <c r="AC68" s="138"/>
      <c r="AD68" s="133"/>
      <c r="AE68" s="133"/>
      <c r="AF68" s="138"/>
      <c r="AG68" s="133"/>
      <c r="AH68" s="133"/>
      <c r="AI68" s="133"/>
      <c r="AJ68" s="133"/>
      <c r="AK68" s="138"/>
      <c r="AL68" s="133"/>
      <c r="AM68" s="138"/>
      <c r="AN68" s="133"/>
      <c r="AO68" s="138"/>
      <c r="AP68" s="133"/>
      <c r="AQ68" s="138"/>
      <c r="AR68" s="133"/>
      <c r="AS68" s="133"/>
      <c r="AT68" s="138"/>
      <c r="AU68" s="133"/>
      <c r="AV68" s="138"/>
      <c r="AW68" s="133"/>
      <c r="AX68" s="138"/>
      <c r="AY68" s="133"/>
      <c r="AZ68" s="133"/>
      <c r="BA68" s="138"/>
      <c r="BB68" s="133"/>
      <c r="BC68" s="133"/>
      <c r="BD68" s="138"/>
      <c r="BE68" s="133"/>
      <c r="BF68" s="138"/>
      <c r="BG68" s="133"/>
      <c r="BH68" s="138"/>
      <c r="BI68" s="133"/>
      <c r="BJ68" s="138"/>
      <c r="BK68" s="133"/>
      <c r="BL68" s="133"/>
      <c r="BM68" s="138"/>
      <c r="BN68" s="138"/>
      <c r="BO68" s="133"/>
      <c r="BP68" s="133"/>
      <c r="BQ68" s="133"/>
      <c r="BR68" s="133"/>
      <c r="BS68" s="133"/>
      <c r="BT68" s="138"/>
      <c r="BU68" s="138"/>
      <c r="BV68" s="138"/>
      <c r="BW68" s="133"/>
      <c r="BX68" s="133"/>
      <c r="BY68" s="133"/>
      <c r="BZ68" s="138"/>
      <c r="CA68" s="133"/>
      <c r="CB68" s="138"/>
      <c r="CC68" s="138"/>
      <c r="CD68" s="133"/>
      <c r="CE68" s="133"/>
      <c r="CF68" s="138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8"/>
      <c r="CS68" s="133"/>
      <c r="CT68" s="133"/>
      <c r="CV68" s="133"/>
      <c r="CW68" s="133"/>
      <c r="CX68" s="33"/>
      <c r="CY68" s="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</row>
    <row r="69" spans="1:138" ht="12.75">
      <c r="A69" s="47"/>
      <c r="C69" s="133"/>
      <c r="D69" s="138"/>
      <c r="E69" s="133"/>
      <c r="F69" s="138"/>
      <c r="G69" s="138"/>
      <c r="H69" s="138"/>
      <c r="I69" s="138"/>
      <c r="J69" s="138"/>
      <c r="K69" s="133"/>
      <c r="L69" s="138"/>
      <c r="M69" s="133"/>
      <c r="N69" s="138"/>
      <c r="O69" s="138"/>
      <c r="P69" s="138"/>
      <c r="Q69" s="133"/>
      <c r="R69" s="138"/>
      <c r="S69" s="133"/>
      <c r="T69" s="138"/>
      <c r="U69" s="133"/>
      <c r="V69" s="138"/>
      <c r="W69" s="133"/>
      <c r="X69" s="138"/>
      <c r="Y69" s="138"/>
      <c r="Z69" s="133"/>
      <c r="AA69" s="138"/>
      <c r="AB69" s="133"/>
      <c r="AC69" s="138"/>
      <c r="AD69" s="133"/>
      <c r="AE69" s="133"/>
      <c r="AF69" s="138"/>
      <c r="AG69" s="133"/>
      <c r="AH69" s="133"/>
      <c r="AI69" s="133"/>
      <c r="AJ69" s="133"/>
      <c r="AK69" s="138"/>
      <c r="AL69" s="133"/>
      <c r="AM69" s="138"/>
      <c r="AN69" s="133"/>
      <c r="AO69" s="138"/>
      <c r="AP69" s="133"/>
      <c r="AQ69" s="138"/>
      <c r="AR69" s="133"/>
      <c r="AS69" s="133"/>
      <c r="AT69" s="138"/>
      <c r="AU69" s="133"/>
      <c r="AV69" s="138"/>
      <c r="AW69" s="133"/>
      <c r="AX69" s="138"/>
      <c r="AY69" s="133"/>
      <c r="AZ69" s="133"/>
      <c r="BA69" s="138"/>
      <c r="BB69" s="133"/>
      <c r="BC69" s="133"/>
      <c r="BD69" s="138"/>
      <c r="BE69" s="133"/>
      <c r="BF69" s="138"/>
      <c r="BG69" s="133"/>
      <c r="BH69" s="138"/>
      <c r="BI69" s="133"/>
      <c r="BJ69" s="138"/>
      <c r="BK69" s="133"/>
      <c r="BL69" s="133"/>
      <c r="BM69" s="138"/>
      <c r="BN69" s="138"/>
      <c r="BO69" s="133"/>
      <c r="BP69" s="133"/>
      <c r="BQ69" s="133"/>
      <c r="BR69" s="133"/>
      <c r="BS69" s="133"/>
      <c r="BT69" s="138"/>
      <c r="BU69" s="138"/>
      <c r="BV69" s="138"/>
      <c r="BW69" s="133"/>
      <c r="BX69" s="133"/>
      <c r="BY69" s="133"/>
      <c r="BZ69" s="138"/>
      <c r="CA69" s="133"/>
      <c r="CB69" s="138"/>
      <c r="CC69" s="138"/>
      <c r="CD69" s="133"/>
      <c r="CE69" s="133"/>
      <c r="CF69" s="138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8"/>
      <c r="CS69" s="133"/>
      <c r="CT69" s="133"/>
      <c r="CV69" s="133"/>
      <c r="CW69" s="133"/>
      <c r="CX69" s="33"/>
      <c r="CY69" s="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</row>
    <row r="70" spans="3:138" ht="12.75">
      <c r="C70" s="133"/>
      <c r="D70" s="138"/>
      <c r="E70" s="133"/>
      <c r="F70" s="138"/>
      <c r="G70" s="138"/>
      <c r="H70" s="138"/>
      <c r="I70" s="138"/>
      <c r="J70" s="138"/>
      <c r="K70" s="133"/>
      <c r="L70" s="138"/>
      <c r="M70" s="133"/>
      <c r="N70" s="138"/>
      <c r="O70" s="138"/>
      <c r="P70" s="138"/>
      <c r="Q70" s="133"/>
      <c r="R70" s="138"/>
      <c r="S70" s="133"/>
      <c r="T70" s="138"/>
      <c r="U70" s="133"/>
      <c r="V70" s="138"/>
      <c r="W70" s="133"/>
      <c r="X70" s="138"/>
      <c r="Y70" s="138"/>
      <c r="Z70" s="133"/>
      <c r="AA70" s="138"/>
      <c r="AB70" s="133"/>
      <c r="AC70" s="138"/>
      <c r="AD70" s="133"/>
      <c r="AE70" s="133"/>
      <c r="AF70" s="138"/>
      <c r="AG70" s="133"/>
      <c r="AH70" s="133"/>
      <c r="AI70" s="133"/>
      <c r="AJ70" s="133"/>
      <c r="AK70" s="138"/>
      <c r="AL70" s="133"/>
      <c r="AM70" s="138"/>
      <c r="AN70" s="133"/>
      <c r="AO70" s="138"/>
      <c r="AP70" s="133"/>
      <c r="AQ70" s="138"/>
      <c r="AR70" s="133"/>
      <c r="AS70" s="133"/>
      <c r="AT70" s="138"/>
      <c r="AU70" s="133"/>
      <c r="AV70" s="138"/>
      <c r="AW70" s="133"/>
      <c r="AX70" s="138"/>
      <c r="AY70" s="133"/>
      <c r="AZ70" s="133"/>
      <c r="BA70" s="138"/>
      <c r="BB70" s="133"/>
      <c r="BC70" s="133"/>
      <c r="BD70" s="138"/>
      <c r="BE70" s="133"/>
      <c r="BF70" s="138"/>
      <c r="BG70" s="133"/>
      <c r="BH70" s="138"/>
      <c r="BI70" s="133"/>
      <c r="BJ70" s="138"/>
      <c r="BK70" s="133"/>
      <c r="BL70" s="133"/>
      <c r="BM70" s="138"/>
      <c r="BN70" s="138"/>
      <c r="BO70" s="133"/>
      <c r="BP70" s="133"/>
      <c r="BQ70" s="133"/>
      <c r="BR70" s="133"/>
      <c r="BS70" s="133"/>
      <c r="BT70" s="138"/>
      <c r="BU70" s="138"/>
      <c r="BV70" s="138"/>
      <c r="BW70" s="133"/>
      <c r="BX70" s="133"/>
      <c r="BY70" s="133"/>
      <c r="BZ70" s="138"/>
      <c r="CA70" s="133"/>
      <c r="CB70" s="138"/>
      <c r="CC70" s="138"/>
      <c r="CD70" s="133"/>
      <c r="CE70" s="133"/>
      <c r="CF70" s="138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8"/>
      <c r="CS70" s="133"/>
      <c r="CT70" s="133"/>
      <c r="CV70" s="133">
        <f>+CX65+CY65</f>
        <v>19065471.6438329</v>
      </c>
      <c r="CW70" s="133"/>
      <c r="CX70" s="33"/>
      <c r="CY70" s="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</row>
    <row r="71" spans="3:138" ht="12.75">
      <c r="C71" s="133"/>
      <c r="D71" s="138"/>
      <c r="E71" s="133"/>
      <c r="F71" s="138"/>
      <c r="G71" s="138"/>
      <c r="H71" s="138"/>
      <c r="I71" s="138"/>
      <c r="J71" s="138"/>
      <c r="K71" s="133"/>
      <c r="L71" s="138"/>
      <c r="M71" s="133"/>
      <c r="N71" s="138"/>
      <c r="O71" s="138"/>
      <c r="P71" s="138"/>
      <c r="Q71" s="133"/>
      <c r="R71" s="138"/>
      <c r="S71" s="133"/>
      <c r="T71" s="138"/>
      <c r="U71" s="133"/>
      <c r="V71" s="138"/>
      <c r="W71" s="133"/>
      <c r="X71" s="138"/>
      <c r="Y71" s="138"/>
      <c r="Z71" s="133"/>
      <c r="AA71" s="138"/>
      <c r="AB71" s="133"/>
      <c r="AC71" s="138"/>
      <c r="AD71" s="133"/>
      <c r="AE71" s="133"/>
      <c r="AF71" s="138"/>
      <c r="AG71" s="133"/>
      <c r="AH71" s="133"/>
      <c r="AI71" s="133"/>
      <c r="AJ71" s="133"/>
      <c r="AK71" s="138"/>
      <c r="AL71" s="133"/>
      <c r="AM71" s="138"/>
      <c r="AN71" s="133"/>
      <c r="AO71" s="138"/>
      <c r="AP71" s="133"/>
      <c r="AQ71" s="138"/>
      <c r="AR71" s="133"/>
      <c r="AS71" s="133"/>
      <c r="AT71" s="138"/>
      <c r="AU71" s="133"/>
      <c r="AV71" s="138"/>
      <c r="AW71" s="133"/>
      <c r="AX71" s="138"/>
      <c r="AY71" s="133"/>
      <c r="AZ71" s="133"/>
      <c r="BA71" s="138"/>
      <c r="BB71" s="133"/>
      <c r="BC71" s="133"/>
      <c r="BD71" s="138"/>
      <c r="BE71" s="133"/>
      <c r="BF71" s="138"/>
      <c r="BG71" s="133"/>
      <c r="BH71" s="138"/>
      <c r="BI71" s="133"/>
      <c r="BJ71" s="138"/>
      <c r="BK71" s="133"/>
      <c r="BL71" s="133"/>
      <c r="BM71" s="138"/>
      <c r="BN71" s="138"/>
      <c r="BO71" s="133"/>
      <c r="BP71" s="133"/>
      <c r="BQ71" s="133"/>
      <c r="BR71" s="133"/>
      <c r="BS71" s="133"/>
      <c r="BT71" s="138"/>
      <c r="BU71" s="138"/>
      <c r="BV71" s="138"/>
      <c r="BW71" s="133"/>
      <c r="BX71" s="133"/>
      <c r="BY71" s="133"/>
      <c r="BZ71" s="138"/>
      <c r="CA71" s="133"/>
      <c r="CB71" s="138"/>
      <c r="CC71" s="138"/>
      <c r="CD71" s="133"/>
      <c r="CE71" s="133"/>
      <c r="CF71" s="138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8"/>
      <c r="CS71" s="133"/>
      <c r="CT71" s="133"/>
      <c r="CV71" s="197"/>
      <c r="CW71" s="197"/>
      <c r="CX71" s="33"/>
      <c r="CY71" s="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</row>
    <row r="72" spans="3:138" ht="12.75">
      <c r="C72" s="133"/>
      <c r="D72" s="138"/>
      <c r="E72" s="133"/>
      <c r="F72" s="138"/>
      <c r="G72" s="138"/>
      <c r="H72" s="138"/>
      <c r="I72" s="138"/>
      <c r="J72" s="138"/>
      <c r="K72" s="133"/>
      <c r="L72" s="138"/>
      <c r="M72" s="133"/>
      <c r="N72" s="138"/>
      <c r="O72" s="138"/>
      <c r="P72" s="138"/>
      <c r="Q72" s="133"/>
      <c r="R72" s="138"/>
      <c r="S72" s="133"/>
      <c r="T72" s="138"/>
      <c r="U72" s="133"/>
      <c r="V72" s="138"/>
      <c r="W72" s="133"/>
      <c r="X72" s="138"/>
      <c r="Y72" s="138"/>
      <c r="Z72" s="133"/>
      <c r="AA72" s="138"/>
      <c r="AB72" s="133"/>
      <c r="AC72" s="138"/>
      <c r="AD72" s="133"/>
      <c r="AE72" s="133"/>
      <c r="AF72" s="138"/>
      <c r="AG72" s="133"/>
      <c r="AH72" s="133"/>
      <c r="AI72" s="133"/>
      <c r="AJ72" s="133"/>
      <c r="AK72" s="138"/>
      <c r="AL72" s="133"/>
      <c r="AM72" s="138"/>
      <c r="AN72" s="133"/>
      <c r="AO72" s="138"/>
      <c r="AP72" s="133"/>
      <c r="AQ72" s="138"/>
      <c r="AR72" s="133"/>
      <c r="AS72" s="133"/>
      <c r="AT72" s="138"/>
      <c r="AU72" s="133"/>
      <c r="AV72" s="138"/>
      <c r="AW72" s="133"/>
      <c r="AX72" s="138"/>
      <c r="AY72" s="133"/>
      <c r="AZ72" s="133"/>
      <c r="BA72" s="138"/>
      <c r="BB72" s="133"/>
      <c r="BC72" s="133"/>
      <c r="BD72" s="138"/>
      <c r="BE72" s="133"/>
      <c r="BF72" s="138"/>
      <c r="BG72" s="133"/>
      <c r="BH72" s="138"/>
      <c r="BI72" s="133"/>
      <c r="BJ72" s="138"/>
      <c r="BK72" s="133"/>
      <c r="BL72" s="133"/>
      <c r="BM72" s="138"/>
      <c r="BN72" s="138"/>
      <c r="BO72" s="133"/>
      <c r="BP72" s="133"/>
      <c r="BQ72" s="133"/>
      <c r="BR72" s="133"/>
      <c r="BS72" s="133"/>
      <c r="BT72" s="138"/>
      <c r="BU72" s="138"/>
      <c r="BV72" s="138"/>
      <c r="BW72" s="133"/>
      <c r="BX72" s="133"/>
      <c r="BY72" s="133"/>
      <c r="BZ72" s="138"/>
      <c r="CA72" s="133"/>
      <c r="CB72" s="138"/>
      <c r="CC72" s="138"/>
      <c r="CD72" s="133"/>
      <c r="CE72" s="133"/>
      <c r="CF72" s="138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8"/>
      <c r="CS72" s="133"/>
      <c r="CT72" s="133"/>
      <c r="CV72" s="133"/>
      <c r="CW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</row>
    <row r="73" spans="3:138" ht="12.75">
      <c r="C73" s="133"/>
      <c r="D73" s="138"/>
      <c r="E73" s="133"/>
      <c r="F73" s="138"/>
      <c r="G73" s="138"/>
      <c r="H73" s="138"/>
      <c r="I73" s="138"/>
      <c r="J73" s="138"/>
      <c r="K73" s="133"/>
      <c r="L73" s="138"/>
      <c r="M73" s="133"/>
      <c r="N73" s="138"/>
      <c r="O73" s="138"/>
      <c r="P73" s="138"/>
      <c r="Q73" s="133"/>
      <c r="R73" s="138"/>
      <c r="S73" s="133"/>
      <c r="T73" s="138"/>
      <c r="U73" s="133"/>
      <c r="V73" s="138"/>
      <c r="W73" s="133"/>
      <c r="X73" s="138"/>
      <c r="Y73" s="138"/>
      <c r="Z73" s="133"/>
      <c r="AA73" s="138"/>
      <c r="AB73" s="133"/>
      <c r="AC73" s="138"/>
      <c r="AD73" s="133"/>
      <c r="AE73" s="133"/>
      <c r="AF73" s="138"/>
      <c r="AG73" s="133"/>
      <c r="AH73" s="133"/>
      <c r="AI73" s="133"/>
      <c r="AJ73" s="133"/>
      <c r="AK73" s="138"/>
      <c r="AL73" s="133"/>
      <c r="AM73" s="138"/>
      <c r="AN73" s="133"/>
      <c r="AO73" s="138"/>
      <c r="AP73" s="133"/>
      <c r="AQ73" s="138"/>
      <c r="AR73" s="133"/>
      <c r="AS73" s="133"/>
      <c r="AT73" s="138"/>
      <c r="AU73" s="133"/>
      <c r="AV73" s="138"/>
      <c r="AW73" s="133"/>
      <c r="AX73" s="138"/>
      <c r="AY73" s="133"/>
      <c r="AZ73" s="133"/>
      <c r="BA73" s="138"/>
      <c r="BB73" s="133"/>
      <c r="BC73" s="133"/>
      <c r="BD73" s="138"/>
      <c r="BE73" s="133"/>
      <c r="BF73" s="138"/>
      <c r="BG73" s="133"/>
      <c r="BH73" s="138"/>
      <c r="BI73" s="133"/>
      <c r="BJ73" s="138"/>
      <c r="BK73" s="133"/>
      <c r="BL73" s="133"/>
      <c r="BM73" s="138"/>
      <c r="BN73" s="138"/>
      <c r="BO73" s="133"/>
      <c r="BP73" s="133"/>
      <c r="BQ73" s="133"/>
      <c r="BR73" s="133"/>
      <c r="BS73" s="133"/>
      <c r="BT73" s="138"/>
      <c r="BU73" s="138"/>
      <c r="BV73" s="138"/>
      <c r="BW73" s="133"/>
      <c r="BX73" s="133"/>
      <c r="BY73" s="133"/>
      <c r="BZ73" s="138"/>
      <c r="CA73" s="133"/>
      <c r="CB73" s="138"/>
      <c r="CC73" s="138"/>
      <c r="CD73" s="133"/>
      <c r="CE73" s="133"/>
      <c r="CF73" s="138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8"/>
      <c r="CS73" s="133"/>
      <c r="CT73" s="133"/>
      <c r="CV73" s="133"/>
      <c r="CW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</row>
    <row r="74" spans="3:138" ht="12.75">
      <c r="C74" s="133"/>
      <c r="D74" s="138"/>
      <c r="E74" s="133"/>
      <c r="F74" s="138"/>
      <c r="G74" s="138"/>
      <c r="H74" s="138"/>
      <c r="I74" s="138"/>
      <c r="J74" s="138"/>
      <c r="K74" s="133"/>
      <c r="L74" s="138"/>
      <c r="M74" s="133"/>
      <c r="N74" s="138"/>
      <c r="O74" s="138"/>
      <c r="P74" s="138"/>
      <c r="Q74" s="133"/>
      <c r="R74" s="138"/>
      <c r="S74" s="133"/>
      <c r="T74" s="138"/>
      <c r="U74" s="133"/>
      <c r="V74" s="138"/>
      <c r="W74" s="133"/>
      <c r="X74" s="138"/>
      <c r="Y74" s="138"/>
      <c r="Z74" s="133"/>
      <c r="AA74" s="138"/>
      <c r="AB74" s="133"/>
      <c r="AC74" s="138"/>
      <c r="AD74" s="133"/>
      <c r="AE74" s="133"/>
      <c r="AF74" s="138"/>
      <c r="AG74" s="133"/>
      <c r="AH74" s="133"/>
      <c r="AI74" s="133"/>
      <c r="AJ74" s="133"/>
      <c r="AK74" s="138"/>
      <c r="AL74" s="133"/>
      <c r="AM74" s="138"/>
      <c r="AN74" s="133"/>
      <c r="AO74" s="138"/>
      <c r="AP74" s="133"/>
      <c r="AQ74" s="138"/>
      <c r="AR74" s="133"/>
      <c r="AS74" s="133"/>
      <c r="AT74" s="138"/>
      <c r="AU74" s="133"/>
      <c r="AV74" s="138"/>
      <c r="AW74" s="133"/>
      <c r="AX74" s="138"/>
      <c r="AY74" s="133"/>
      <c r="AZ74" s="133"/>
      <c r="BA74" s="138"/>
      <c r="BB74" s="133"/>
      <c r="BC74" s="133"/>
      <c r="BD74" s="138"/>
      <c r="BE74" s="133"/>
      <c r="BF74" s="138"/>
      <c r="BG74" s="133"/>
      <c r="BH74" s="138"/>
      <c r="BI74" s="133"/>
      <c r="BJ74" s="138"/>
      <c r="BK74" s="133"/>
      <c r="BL74" s="133"/>
      <c r="BM74" s="138"/>
      <c r="BN74" s="138"/>
      <c r="BO74" s="133"/>
      <c r="BP74" s="133"/>
      <c r="BQ74" s="133"/>
      <c r="BR74" s="133"/>
      <c r="BS74" s="133"/>
      <c r="BT74" s="138"/>
      <c r="BU74" s="138"/>
      <c r="BV74" s="138"/>
      <c r="BW74" s="133"/>
      <c r="BX74" s="133"/>
      <c r="BY74" s="133"/>
      <c r="BZ74" s="138"/>
      <c r="CA74" s="133"/>
      <c r="CB74" s="138"/>
      <c r="CC74" s="138"/>
      <c r="CD74" s="133"/>
      <c r="CE74" s="133"/>
      <c r="CF74" s="138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8"/>
      <c r="CS74" s="133"/>
      <c r="CT74" s="133"/>
      <c r="CV74" s="133"/>
      <c r="CW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</row>
    <row r="75" spans="3:138" ht="12.75">
      <c r="C75" s="133"/>
      <c r="D75" s="138"/>
      <c r="E75" s="133"/>
      <c r="F75" s="138"/>
      <c r="G75" s="138"/>
      <c r="H75" s="138"/>
      <c r="I75" s="138"/>
      <c r="J75" s="138"/>
      <c r="K75" s="133"/>
      <c r="L75" s="138"/>
      <c r="M75" s="133"/>
      <c r="N75" s="138"/>
      <c r="O75" s="138"/>
      <c r="P75" s="138"/>
      <c r="Q75" s="133"/>
      <c r="R75" s="138"/>
      <c r="S75" s="133"/>
      <c r="T75" s="138"/>
      <c r="U75" s="133"/>
      <c r="V75" s="138"/>
      <c r="W75" s="133"/>
      <c r="X75" s="138"/>
      <c r="Y75" s="138"/>
      <c r="Z75" s="133"/>
      <c r="AA75" s="138"/>
      <c r="AB75" s="133"/>
      <c r="AC75" s="138"/>
      <c r="AD75" s="133"/>
      <c r="AE75" s="133"/>
      <c r="AF75" s="138"/>
      <c r="AG75" s="133"/>
      <c r="AH75" s="133"/>
      <c r="AI75" s="133"/>
      <c r="AJ75" s="133"/>
      <c r="AK75" s="138"/>
      <c r="AL75" s="133"/>
      <c r="AM75" s="138"/>
      <c r="AN75" s="133"/>
      <c r="AO75" s="138"/>
      <c r="AP75" s="133"/>
      <c r="AQ75" s="138"/>
      <c r="AR75" s="133"/>
      <c r="AS75" s="133"/>
      <c r="AT75" s="138"/>
      <c r="AU75" s="133"/>
      <c r="AV75" s="138"/>
      <c r="AW75" s="133"/>
      <c r="AX75" s="138"/>
      <c r="AY75" s="133"/>
      <c r="AZ75" s="133"/>
      <c r="BA75" s="138"/>
      <c r="BB75" s="133"/>
      <c r="BC75" s="133"/>
      <c r="BD75" s="138"/>
      <c r="BE75" s="133"/>
      <c r="BF75" s="138"/>
      <c r="BG75" s="133"/>
      <c r="BH75" s="138"/>
      <c r="BI75" s="133"/>
      <c r="BJ75" s="138"/>
      <c r="BK75" s="133"/>
      <c r="BL75" s="133"/>
      <c r="BM75" s="138"/>
      <c r="BN75" s="138"/>
      <c r="BO75" s="133"/>
      <c r="BP75" s="133"/>
      <c r="BQ75" s="133"/>
      <c r="BR75" s="133"/>
      <c r="BS75" s="133"/>
      <c r="BT75" s="138"/>
      <c r="BU75" s="138"/>
      <c r="BV75" s="138"/>
      <c r="BW75" s="133"/>
      <c r="BX75" s="133"/>
      <c r="BY75" s="133"/>
      <c r="BZ75" s="138"/>
      <c r="CA75" s="133"/>
      <c r="CB75" s="138"/>
      <c r="CC75" s="138"/>
      <c r="CD75" s="133"/>
      <c r="CE75" s="133"/>
      <c r="CF75" s="138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8"/>
      <c r="CS75" s="133"/>
      <c r="CT75" s="133"/>
      <c r="CV75" s="133"/>
      <c r="CW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</row>
    <row r="76" spans="3:138" ht="12.75">
      <c r="C76" s="133"/>
      <c r="D76" s="138"/>
      <c r="E76" s="133"/>
      <c r="F76" s="138"/>
      <c r="G76" s="138"/>
      <c r="H76" s="138"/>
      <c r="I76" s="138"/>
      <c r="J76" s="138"/>
      <c r="K76" s="133"/>
      <c r="L76" s="138"/>
      <c r="M76" s="133"/>
      <c r="N76" s="138"/>
      <c r="O76" s="138"/>
      <c r="P76" s="138"/>
      <c r="Q76" s="133"/>
      <c r="R76" s="138"/>
      <c r="S76" s="133"/>
      <c r="T76" s="138"/>
      <c r="U76" s="133"/>
      <c r="V76" s="138"/>
      <c r="W76" s="133"/>
      <c r="X76" s="138"/>
      <c r="Y76" s="138"/>
      <c r="Z76" s="133"/>
      <c r="AA76" s="138"/>
      <c r="AB76" s="133"/>
      <c r="AC76" s="138"/>
      <c r="AD76" s="133"/>
      <c r="AE76" s="133"/>
      <c r="AF76" s="138"/>
      <c r="AG76" s="133"/>
      <c r="AH76" s="133"/>
      <c r="AI76" s="133"/>
      <c r="AJ76" s="133"/>
      <c r="AK76" s="138"/>
      <c r="AL76" s="133"/>
      <c r="AM76" s="138"/>
      <c r="AN76" s="133"/>
      <c r="AO76" s="138"/>
      <c r="AP76" s="133"/>
      <c r="AQ76" s="138"/>
      <c r="AR76" s="133"/>
      <c r="AS76" s="133"/>
      <c r="AT76" s="138"/>
      <c r="AU76" s="133"/>
      <c r="AV76" s="138"/>
      <c r="AW76" s="133"/>
      <c r="AX76" s="138"/>
      <c r="AY76" s="133"/>
      <c r="AZ76" s="133"/>
      <c r="BA76" s="138"/>
      <c r="BB76" s="133"/>
      <c r="BC76" s="133"/>
      <c r="BD76" s="138"/>
      <c r="BE76" s="133"/>
      <c r="BF76" s="138"/>
      <c r="BG76" s="133"/>
      <c r="BH76" s="138"/>
      <c r="BI76" s="133"/>
      <c r="BJ76" s="138"/>
      <c r="BK76" s="133"/>
      <c r="BL76" s="133"/>
      <c r="BM76" s="138"/>
      <c r="BN76" s="138"/>
      <c r="BO76" s="133"/>
      <c r="BP76" s="133"/>
      <c r="BQ76" s="133"/>
      <c r="BR76" s="133"/>
      <c r="BS76" s="133"/>
      <c r="BT76" s="138"/>
      <c r="BU76" s="138"/>
      <c r="BV76" s="138"/>
      <c r="BW76" s="133"/>
      <c r="BX76" s="133"/>
      <c r="BY76" s="133"/>
      <c r="BZ76" s="138"/>
      <c r="CA76" s="133"/>
      <c r="CB76" s="138"/>
      <c r="CC76" s="138"/>
      <c r="CD76" s="133"/>
      <c r="CE76" s="133"/>
      <c r="CF76" s="138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8"/>
      <c r="CS76" s="133"/>
      <c r="CT76" s="133"/>
      <c r="CV76" s="133"/>
      <c r="CW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</row>
    <row r="77" spans="3:138" ht="12.75">
      <c r="C77" s="133"/>
      <c r="D77" s="138"/>
      <c r="E77" s="133"/>
      <c r="F77" s="138"/>
      <c r="G77" s="138"/>
      <c r="H77" s="138"/>
      <c r="I77" s="138"/>
      <c r="J77" s="138"/>
      <c r="K77" s="133"/>
      <c r="L77" s="138"/>
      <c r="M77" s="133"/>
      <c r="N77" s="138"/>
      <c r="O77" s="138"/>
      <c r="P77" s="138"/>
      <c r="Q77" s="133"/>
      <c r="R77" s="138"/>
      <c r="S77" s="133"/>
      <c r="T77" s="138"/>
      <c r="U77" s="133"/>
      <c r="V77" s="138"/>
      <c r="W77" s="133"/>
      <c r="X77" s="138"/>
      <c r="Y77" s="138"/>
      <c r="Z77" s="133"/>
      <c r="AA77" s="138"/>
      <c r="AB77" s="133"/>
      <c r="AC77" s="138"/>
      <c r="AD77" s="133"/>
      <c r="AE77" s="133"/>
      <c r="AF77" s="138"/>
      <c r="AG77" s="133"/>
      <c r="AH77" s="133"/>
      <c r="AI77" s="133"/>
      <c r="AJ77" s="133"/>
      <c r="AK77" s="138"/>
      <c r="AL77" s="133"/>
      <c r="AM77" s="138"/>
      <c r="AN77" s="133"/>
      <c r="AO77" s="138"/>
      <c r="AP77" s="133"/>
      <c r="AQ77" s="138"/>
      <c r="AR77" s="133"/>
      <c r="AS77" s="133"/>
      <c r="AT77" s="138"/>
      <c r="AU77" s="133"/>
      <c r="AV77" s="138"/>
      <c r="AW77" s="133"/>
      <c r="AX77" s="138"/>
      <c r="AY77" s="133"/>
      <c r="AZ77" s="133"/>
      <c r="BA77" s="138"/>
      <c r="BB77" s="133"/>
      <c r="BC77" s="133"/>
      <c r="BD77" s="138"/>
      <c r="BE77" s="133"/>
      <c r="BF77" s="138"/>
      <c r="BG77" s="133"/>
      <c r="BH77" s="138"/>
      <c r="BI77" s="133"/>
      <c r="BJ77" s="138"/>
      <c r="BK77" s="133"/>
      <c r="BL77" s="133"/>
      <c r="BM77" s="138"/>
      <c r="BN77" s="138"/>
      <c r="BO77" s="133"/>
      <c r="BP77" s="133"/>
      <c r="BQ77" s="133"/>
      <c r="BR77" s="133"/>
      <c r="BS77" s="133"/>
      <c r="BT77" s="138"/>
      <c r="BU77" s="138"/>
      <c r="BV77" s="138"/>
      <c r="BW77" s="133"/>
      <c r="BX77" s="133"/>
      <c r="BY77" s="133"/>
      <c r="BZ77" s="138"/>
      <c r="CA77" s="133"/>
      <c r="CB77" s="138"/>
      <c r="CC77" s="138"/>
      <c r="CD77" s="133"/>
      <c r="CE77" s="133"/>
      <c r="CF77" s="138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8"/>
      <c r="CS77" s="133"/>
      <c r="CT77" s="133"/>
      <c r="CV77" s="133"/>
      <c r="CW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</row>
    <row r="78" spans="3:138" ht="12.75">
      <c r="C78" s="133"/>
      <c r="D78" s="138"/>
      <c r="E78" s="133"/>
      <c r="F78" s="138"/>
      <c r="G78" s="138"/>
      <c r="H78" s="138"/>
      <c r="I78" s="138"/>
      <c r="J78" s="138"/>
      <c r="K78" s="133"/>
      <c r="L78" s="138"/>
      <c r="M78" s="133"/>
      <c r="N78" s="138"/>
      <c r="O78" s="138"/>
      <c r="P78" s="138"/>
      <c r="Q78" s="133"/>
      <c r="R78" s="138"/>
      <c r="S78" s="133"/>
      <c r="T78" s="138"/>
      <c r="U78" s="133"/>
      <c r="V78" s="138"/>
      <c r="W78" s="133"/>
      <c r="X78" s="138"/>
      <c r="Y78" s="138"/>
      <c r="Z78" s="133"/>
      <c r="AA78" s="138"/>
      <c r="AB78" s="133"/>
      <c r="AC78" s="138"/>
      <c r="AD78" s="133"/>
      <c r="AE78" s="133"/>
      <c r="AF78" s="138"/>
      <c r="AG78" s="133"/>
      <c r="AH78" s="133"/>
      <c r="AI78" s="133"/>
      <c r="AJ78" s="133"/>
      <c r="AK78" s="138"/>
      <c r="AL78" s="133"/>
      <c r="AM78" s="138"/>
      <c r="AN78" s="133"/>
      <c r="AO78" s="138"/>
      <c r="AP78" s="133"/>
      <c r="AQ78" s="138"/>
      <c r="AR78" s="133"/>
      <c r="AS78" s="133"/>
      <c r="AT78" s="138"/>
      <c r="AU78" s="133"/>
      <c r="AV78" s="138"/>
      <c r="AW78" s="133"/>
      <c r="AX78" s="138"/>
      <c r="AY78" s="133"/>
      <c r="AZ78" s="133"/>
      <c r="BA78" s="138"/>
      <c r="BB78" s="133"/>
      <c r="BC78" s="133"/>
      <c r="BD78" s="138"/>
      <c r="BE78" s="133"/>
      <c r="BF78" s="138"/>
      <c r="BG78" s="133"/>
      <c r="BH78" s="138"/>
      <c r="BI78" s="133"/>
      <c r="BJ78" s="138"/>
      <c r="BK78" s="133"/>
      <c r="BL78" s="133"/>
      <c r="BM78" s="138"/>
      <c r="BN78" s="138"/>
      <c r="BO78" s="133"/>
      <c r="BP78" s="133"/>
      <c r="BQ78" s="133"/>
      <c r="BR78" s="133"/>
      <c r="BS78" s="133"/>
      <c r="BT78" s="138"/>
      <c r="BU78" s="138"/>
      <c r="BV78" s="138"/>
      <c r="BW78" s="133"/>
      <c r="BX78" s="133"/>
      <c r="BY78" s="133"/>
      <c r="BZ78" s="138"/>
      <c r="CA78" s="133"/>
      <c r="CB78" s="138"/>
      <c r="CC78" s="138"/>
      <c r="CD78" s="133"/>
      <c r="CE78" s="133"/>
      <c r="CF78" s="138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8"/>
      <c r="CS78" s="133"/>
      <c r="CT78" s="133"/>
      <c r="CV78" s="133"/>
      <c r="CW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</row>
    <row r="79" spans="3:138" ht="12.75">
      <c r="C79" s="133"/>
      <c r="D79" s="138"/>
      <c r="E79" s="133"/>
      <c r="F79" s="138"/>
      <c r="G79" s="138"/>
      <c r="H79" s="138"/>
      <c r="I79" s="138"/>
      <c r="J79" s="138"/>
      <c r="K79" s="133"/>
      <c r="L79" s="138"/>
      <c r="M79" s="133"/>
      <c r="N79" s="138"/>
      <c r="O79" s="138"/>
      <c r="P79" s="138"/>
      <c r="Q79" s="133"/>
      <c r="R79" s="138"/>
      <c r="S79" s="133"/>
      <c r="T79" s="138"/>
      <c r="U79" s="133"/>
      <c r="V79" s="138"/>
      <c r="W79" s="133"/>
      <c r="X79" s="138"/>
      <c r="Y79" s="138"/>
      <c r="Z79" s="133"/>
      <c r="AA79" s="138"/>
      <c r="AB79" s="133"/>
      <c r="AC79" s="138"/>
      <c r="AD79" s="133"/>
      <c r="AE79" s="133"/>
      <c r="AF79" s="138"/>
      <c r="AG79" s="133"/>
      <c r="AH79" s="133"/>
      <c r="AI79" s="133"/>
      <c r="AJ79" s="133"/>
      <c r="AK79" s="138"/>
      <c r="AL79" s="133"/>
      <c r="AM79" s="138"/>
      <c r="AN79" s="133"/>
      <c r="AO79" s="138"/>
      <c r="AP79" s="133"/>
      <c r="AQ79" s="138"/>
      <c r="AR79" s="133"/>
      <c r="AS79" s="133"/>
      <c r="AT79" s="138"/>
      <c r="AU79" s="133"/>
      <c r="AV79" s="138"/>
      <c r="AW79" s="133"/>
      <c r="AX79" s="138"/>
      <c r="AY79" s="133"/>
      <c r="AZ79" s="133"/>
      <c r="BA79" s="138"/>
      <c r="BB79" s="133"/>
      <c r="BC79" s="133"/>
      <c r="BD79" s="138"/>
      <c r="BE79" s="133"/>
      <c r="BF79" s="138"/>
      <c r="BG79" s="133"/>
      <c r="BH79" s="138"/>
      <c r="BI79" s="133"/>
      <c r="BJ79" s="138"/>
      <c r="BK79" s="133"/>
      <c r="BL79" s="133"/>
      <c r="BM79" s="138"/>
      <c r="BN79" s="138"/>
      <c r="BO79" s="133"/>
      <c r="BP79" s="133"/>
      <c r="BQ79" s="133"/>
      <c r="BR79" s="133"/>
      <c r="BS79" s="133"/>
      <c r="BT79" s="138"/>
      <c r="BU79" s="138"/>
      <c r="BV79" s="138"/>
      <c r="BW79" s="133"/>
      <c r="BX79" s="133"/>
      <c r="BY79" s="133"/>
      <c r="BZ79" s="138"/>
      <c r="CA79" s="133"/>
      <c r="CB79" s="138"/>
      <c r="CC79" s="138"/>
      <c r="CD79" s="133"/>
      <c r="CE79" s="133"/>
      <c r="CF79" s="138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8"/>
      <c r="CS79" s="133"/>
      <c r="CT79" s="133"/>
      <c r="CV79" s="133"/>
      <c r="CW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</row>
    <row r="80" spans="3:138" ht="12.75">
      <c r="C80" s="133"/>
      <c r="D80" s="138"/>
      <c r="E80" s="133"/>
      <c r="F80" s="138"/>
      <c r="G80" s="138"/>
      <c r="H80" s="138"/>
      <c r="I80" s="138"/>
      <c r="J80" s="138"/>
      <c r="K80" s="133"/>
      <c r="L80" s="138"/>
      <c r="M80" s="133"/>
      <c r="N80" s="138"/>
      <c r="O80" s="138"/>
      <c r="P80" s="138"/>
      <c r="Q80" s="133"/>
      <c r="R80" s="138"/>
      <c r="S80" s="133"/>
      <c r="T80" s="138"/>
      <c r="U80" s="133"/>
      <c r="V80" s="138"/>
      <c r="W80" s="133"/>
      <c r="X80" s="138"/>
      <c r="Y80" s="138"/>
      <c r="Z80" s="133"/>
      <c r="AA80" s="138"/>
      <c r="AB80" s="133"/>
      <c r="AC80" s="138"/>
      <c r="AD80" s="133"/>
      <c r="AE80" s="133"/>
      <c r="AF80" s="138"/>
      <c r="AG80" s="133"/>
      <c r="AH80" s="133"/>
      <c r="AI80" s="133"/>
      <c r="AJ80" s="133"/>
      <c r="AK80" s="138"/>
      <c r="AL80" s="133"/>
      <c r="AM80" s="138"/>
      <c r="AN80" s="133"/>
      <c r="AO80" s="138"/>
      <c r="AP80" s="133"/>
      <c r="AQ80" s="138"/>
      <c r="AR80" s="133"/>
      <c r="AS80" s="133"/>
      <c r="AT80" s="138"/>
      <c r="AU80" s="133"/>
      <c r="AV80" s="138"/>
      <c r="AW80" s="133"/>
      <c r="AX80" s="138"/>
      <c r="AY80" s="133"/>
      <c r="AZ80" s="133"/>
      <c r="BA80" s="138"/>
      <c r="BB80" s="133"/>
      <c r="BC80" s="133"/>
      <c r="BD80" s="138"/>
      <c r="BE80" s="133"/>
      <c r="BF80" s="138"/>
      <c r="BG80" s="133"/>
      <c r="BH80" s="138"/>
      <c r="BI80" s="133"/>
      <c r="BJ80" s="138"/>
      <c r="BK80" s="133"/>
      <c r="BL80" s="133"/>
      <c r="BM80" s="138"/>
      <c r="BN80" s="138"/>
      <c r="BO80" s="133"/>
      <c r="BP80" s="133"/>
      <c r="BQ80" s="133"/>
      <c r="BR80" s="133"/>
      <c r="BS80" s="133"/>
      <c r="BT80" s="138"/>
      <c r="BU80" s="138"/>
      <c r="BV80" s="138"/>
      <c r="BW80" s="133"/>
      <c r="BX80" s="133"/>
      <c r="BY80" s="133"/>
      <c r="BZ80" s="138"/>
      <c r="CA80" s="133"/>
      <c r="CB80" s="138"/>
      <c r="CC80" s="138"/>
      <c r="CD80" s="133"/>
      <c r="CE80" s="133"/>
      <c r="CF80" s="138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8"/>
      <c r="CS80" s="133"/>
      <c r="CT80" s="133"/>
      <c r="CV80" s="133"/>
      <c r="CW80" s="133"/>
      <c r="CZ80" s="133"/>
      <c r="DA80" s="133"/>
      <c r="DB80" s="133"/>
      <c r="DC80" s="133"/>
      <c r="DD80" s="133"/>
      <c r="DE80" s="133"/>
      <c r="DF80" s="133"/>
      <c r="DG80" s="133"/>
      <c r="DH80" s="133"/>
      <c r="DI80" s="133"/>
      <c r="DJ80" s="133"/>
      <c r="DK80" s="133"/>
      <c r="DL80" s="133"/>
      <c r="DM80" s="133"/>
      <c r="DN80" s="133"/>
      <c r="DO80" s="133"/>
      <c r="DP80" s="133"/>
      <c r="DQ80" s="133"/>
      <c r="DR80" s="133"/>
      <c r="DS80" s="133"/>
      <c r="DT80" s="133"/>
      <c r="DU80" s="133"/>
      <c r="DV80" s="133"/>
      <c r="DW80" s="133"/>
      <c r="DX80" s="133"/>
      <c r="DY80" s="133"/>
      <c r="DZ80" s="133"/>
      <c r="EA80" s="133"/>
      <c r="EB80" s="133"/>
      <c r="EC80" s="133"/>
      <c r="ED80" s="133"/>
      <c r="EE80" s="133"/>
      <c r="EF80" s="133"/>
      <c r="EG80" s="133"/>
      <c r="EH80" s="133"/>
    </row>
    <row r="81" spans="3:138" ht="12.75">
      <c r="C81" s="133"/>
      <c r="D81" s="138"/>
      <c r="E81" s="133"/>
      <c r="F81" s="138"/>
      <c r="G81" s="138"/>
      <c r="H81" s="138"/>
      <c r="I81" s="138"/>
      <c r="J81" s="138"/>
      <c r="K81" s="133"/>
      <c r="L81" s="138"/>
      <c r="M81" s="133"/>
      <c r="N81" s="138"/>
      <c r="O81" s="138"/>
      <c r="P81" s="138"/>
      <c r="Q81" s="133"/>
      <c r="R81" s="138"/>
      <c r="S81" s="133"/>
      <c r="T81" s="138"/>
      <c r="U81" s="133"/>
      <c r="V81" s="138"/>
      <c r="W81" s="133"/>
      <c r="X81" s="138"/>
      <c r="Y81" s="138"/>
      <c r="Z81" s="133"/>
      <c r="AA81" s="138"/>
      <c r="AB81" s="133"/>
      <c r="AC81" s="138"/>
      <c r="AD81" s="133"/>
      <c r="AE81" s="133"/>
      <c r="AF81" s="138"/>
      <c r="AG81" s="133"/>
      <c r="AH81" s="133"/>
      <c r="AI81" s="133"/>
      <c r="AJ81" s="133"/>
      <c r="AK81" s="138"/>
      <c r="AL81" s="133"/>
      <c r="AM81" s="138"/>
      <c r="AN81" s="133"/>
      <c r="AO81" s="138"/>
      <c r="AP81" s="133"/>
      <c r="AQ81" s="138"/>
      <c r="AR81" s="133"/>
      <c r="AS81" s="133"/>
      <c r="AT81" s="138"/>
      <c r="AU81" s="133"/>
      <c r="AV81" s="138"/>
      <c r="AW81" s="133"/>
      <c r="AX81" s="138"/>
      <c r="AY81" s="133"/>
      <c r="AZ81" s="133"/>
      <c r="BA81" s="138"/>
      <c r="BB81" s="133"/>
      <c r="BC81" s="133"/>
      <c r="BD81" s="138"/>
      <c r="BE81" s="133"/>
      <c r="BF81" s="138"/>
      <c r="BG81" s="133"/>
      <c r="BH81" s="138"/>
      <c r="BI81" s="133"/>
      <c r="BJ81" s="138"/>
      <c r="BK81" s="133"/>
      <c r="BL81" s="133"/>
      <c r="BM81" s="138"/>
      <c r="BN81" s="138"/>
      <c r="BO81" s="133"/>
      <c r="BP81" s="133"/>
      <c r="BQ81" s="133"/>
      <c r="BR81" s="133"/>
      <c r="BS81" s="133"/>
      <c r="BT81" s="138"/>
      <c r="BU81" s="138"/>
      <c r="BV81" s="138"/>
      <c r="BW81" s="133"/>
      <c r="BX81" s="133"/>
      <c r="BY81" s="133"/>
      <c r="BZ81" s="138"/>
      <c r="CA81" s="133"/>
      <c r="CB81" s="138"/>
      <c r="CC81" s="138"/>
      <c r="CD81" s="133"/>
      <c r="CE81" s="133"/>
      <c r="CF81" s="138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8"/>
      <c r="CS81" s="133"/>
      <c r="CT81" s="133"/>
      <c r="CV81" s="133"/>
      <c r="CW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</row>
    <row r="82" spans="3:138" ht="12.75">
      <c r="C82" s="133"/>
      <c r="D82" s="138"/>
      <c r="E82" s="133"/>
      <c r="F82" s="138"/>
      <c r="G82" s="138"/>
      <c r="H82" s="138"/>
      <c r="I82" s="138"/>
      <c r="J82" s="138"/>
      <c r="K82" s="133"/>
      <c r="L82" s="138"/>
      <c r="M82" s="133"/>
      <c r="N82" s="138"/>
      <c r="O82" s="138"/>
      <c r="P82" s="138"/>
      <c r="Q82" s="133"/>
      <c r="R82" s="138"/>
      <c r="S82" s="133"/>
      <c r="T82" s="138"/>
      <c r="U82" s="133"/>
      <c r="V82" s="138"/>
      <c r="W82" s="133"/>
      <c r="X82" s="138"/>
      <c r="Y82" s="138"/>
      <c r="Z82" s="133"/>
      <c r="AA82" s="138"/>
      <c r="AB82" s="133"/>
      <c r="AC82" s="138"/>
      <c r="AD82" s="133"/>
      <c r="AE82" s="133"/>
      <c r="AF82" s="138"/>
      <c r="AG82" s="133"/>
      <c r="AH82" s="133"/>
      <c r="AI82" s="133"/>
      <c r="AJ82" s="133"/>
      <c r="AK82" s="138"/>
      <c r="AL82" s="133"/>
      <c r="AM82" s="138"/>
      <c r="AN82" s="133"/>
      <c r="AO82" s="138"/>
      <c r="AP82" s="133"/>
      <c r="AQ82" s="138"/>
      <c r="AR82" s="133"/>
      <c r="AS82" s="133"/>
      <c r="AT82" s="138"/>
      <c r="AU82" s="133"/>
      <c r="AV82" s="138"/>
      <c r="AW82" s="133"/>
      <c r="AX82" s="138"/>
      <c r="AY82" s="133"/>
      <c r="AZ82" s="133"/>
      <c r="BA82" s="138"/>
      <c r="BB82" s="133"/>
      <c r="BC82" s="133"/>
      <c r="BD82" s="138"/>
      <c r="BE82" s="133"/>
      <c r="BF82" s="138"/>
      <c r="BG82" s="133"/>
      <c r="BH82" s="138"/>
      <c r="BI82" s="133"/>
      <c r="BJ82" s="138"/>
      <c r="BK82" s="133"/>
      <c r="BL82" s="133"/>
      <c r="BM82" s="138"/>
      <c r="BN82" s="138"/>
      <c r="BO82" s="133"/>
      <c r="BP82" s="133"/>
      <c r="BQ82" s="133"/>
      <c r="BR82" s="133"/>
      <c r="BS82" s="133"/>
      <c r="BT82" s="138"/>
      <c r="BU82" s="138"/>
      <c r="BV82" s="138"/>
      <c r="BW82" s="133"/>
      <c r="BX82" s="133"/>
      <c r="BY82" s="133"/>
      <c r="BZ82" s="138"/>
      <c r="CA82" s="133"/>
      <c r="CB82" s="138"/>
      <c r="CC82" s="138"/>
      <c r="CD82" s="133"/>
      <c r="CE82" s="133"/>
      <c r="CF82" s="138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8"/>
      <c r="CS82" s="133"/>
      <c r="CT82" s="133"/>
      <c r="CV82" s="133"/>
      <c r="CW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</row>
    <row r="83" spans="3:138" ht="12.75">
      <c r="C83" s="133"/>
      <c r="D83" s="138"/>
      <c r="E83" s="133"/>
      <c r="F83" s="138"/>
      <c r="G83" s="138"/>
      <c r="H83" s="138"/>
      <c r="I83" s="138"/>
      <c r="J83" s="138"/>
      <c r="K83" s="133"/>
      <c r="L83" s="138"/>
      <c r="M83" s="133"/>
      <c r="N83" s="138"/>
      <c r="O83" s="138"/>
      <c r="P83" s="138"/>
      <c r="Q83" s="133"/>
      <c r="R83" s="138"/>
      <c r="S83" s="133"/>
      <c r="T83" s="138"/>
      <c r="U83" s="133"/>
      <c r="V83" s="138"/>
      <c r="W83" s="133"/>
      <c r="X83" s="138"/>
      <c r="Y83" s="138"/>
      <c r="Z83" s="133"/>
      <c r="AA83" s="138"/>
      <c r="AB83" s="133"/>
      <c r="AC83" s="138"/>
      <c r="AD83" s="133"/>
      <c r="AE83" s="133"/>
      <c r="AF83" s="138"/>
      <c r="AG83" s="133"/>
      <c r="AH83" s="133"/>
      <c r="AI83" s="133"/>
      <c r="AJ83" s="133"/>
      <c r="AK83" s="138"/>
      <c r="AL83" s="133"/>
      <c r="AM83" s="138"/>
      <c r="AN83" s="133"/>
      <c r="AO83" s="138"/>
      <c r="AP83" s="133"/>
      <c r="AQ83" s="138"/>
      <c r="AR83" s="133"/>
      <c r="AS83" s="133"/>
      <c r="AT83" s="138"/>
      <c r="AU83" s="133"/>
      <c r="AV83" s="138"/>
      <c r="AW83" s="133"/>
      <c r="AX83" s="138"/>
      <c r="AY83" s="133"/>
      <c r="AZ83" s="133"/>
      <c r="BA83" s="138"/>
      <c r="BB83" s="133"/>
      <c r="BC83" s="133"/>
      <c r="BD83" s="138"/>
      <c r="BE83" s="133"/>
      <c r="BF83" s="138"/>
      <c r="BG83" s="133"/>
      <c r="BH83" s="138"/>
      <c r="BI83" s="133"/>
      <c r="BJ83" s="138"/>
      <c r="BK83" s="133"/>
      <c r="BL83" s="133"/>
      <c r="BM83" s="138"/>
      <c r="BN83" s="138"/>
      <c r="BO83" s="133"/>
      <c r="BP83" s="133"/>
      <c r="BQ83" s="133"/>
      <c r="BR83" s="133"/>
      <c r="BS83" s="133"/>
      <c r="BT83" s="138"/>
      <c r="BU83" s="138"/>
      <c r="BV83" s="138"/>
      <c r="BW83" s="133"/>
      <c r="BX83" s="133"/>
      <c r="BY83" s="133"/>
      <c r="BZ83" s="138"/>
      <c r="CA83" s="133"/>
      <c r="CB83" s="138"/>
      <c r="CC83" s="138"/>
      <c r="CD83" s="133"/>
      <c r="CE83" s="133"/>
      <c r="CF83" s="138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8"/>
      <c r="CS83" s="133"/>
      <c r="CT83" s="133"/>
      <c r="CV83" s="133"/>
      <c r="CW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  <c r="EE83" s="133"/>
      <c r="EF83" s="133"/>
      <c r="EG83" s="133"/>
      <c r="EH83" s="133"/>
    </row>
    <row r="84" spans="3:138" ht="12.75">
      <c r="C84" s="133"/>
      <c r="D84" s="138"/>
      <c r="E84" s="133"/>
      <c r="F84" s="138"/>
      <c r="G84" s="138"/>
      <c r="H84" s="138"/>
      <c r="I84" s="138"/>
      <c r="J84" s="138"/>
      <c r="K84" s="133"/>
      <c r="L84" s="138"/>
      <c r="M84" s="133"/>
      <c r="N84" s="138"/>
      <c r="O84" s="138"/>
      <c r="P84" s="138"/>
      <c r="Q84" s="133"/>
      <c r="R84" s="138"/>
      <c r="S84" s="133"/>
      <c r="T84" s="138"/>
      <c r="U84" s="133"/>
      <c r="V84" s="138"/>
      <c r="W84" s="133"/>
      <c r="X84" s="138"/>
      <c r="Y84" s="138"/>
      <c r="Z84" s="133"/>
      <c r="AA84" s="138"/>
      <c r="AB84" s="133"/>
      <c r="AC84" s="138"/>
      <c r="AD84" s="133"/>
      <c r="AE84" s="133"/>
      <c r="AF84" s="138"/>
      <c r="AG84" s="133"/>
      <c r="AH84" s="133"/>
      <c r="AI84" s="133"/>
      <c r="AJ84" s="133"/>
      <c r="AK84" s="138"/>
      <c r="AL84" s="133"/>
      <c r="AM84" s="138"/>
      <c r="AN84" s="133"/>
      <c r="AO84" s="138"/>
      <c r="AP84" s="133"/>
      <c r="AQ84" s="138"/>
      <c r="AR84" s="133"/>
      <c r="AS84" s="133"/>
      <c r="AT84" s="138"/>
      <c r="AU84" s="133"/>
      <c r="AV84" s="138"/>
      <c r="AW84" s="133"/>
      <c r="AX84" s="138"/>
      <c r="AY84" s="133"/>
      <c r="AZ84" s="133"/>
      <c r="BA84" s="138"/>
      <c r="BB84" s="133"/>
      <c r="BC84" s="133"/>
      <c r="BD84" s="138"/>
      <c r="BE84" s="133"/>
      <c r="BF84" s="138"/>
      <c r="BG84" s="133"/>
      <c r="BH84" s="138"/>
      <c r="BI84" s="133"/>
      <c r="BJ84" s="138"/>
      <c r="BK84" s="133"/>
      <c r="BL84" s="133"/>
      <c r="BM84" s="138"/>
      <c r="BN84" s="138"/>
      <c r="BO84" s="133"/>
      <c r="BP84" s="133"/>
      <c r="BQ84" s="133"/>
      <c r="BR84" s="133"/>
      <c r="BS84" s="133"/>
      <c r="BT84" s="138"/>
      <c r="BU84" s="138"/>
      <c r="BV84" s="138"/>
      <c r="BW84" s="133"/>
      <c r="BX84" s="133"/>
      <c r="BY84" s="133"/>
      <c r="BZ84" s="138"/>
      <c r="CA84" s="133"/>
      <c r="CB84" s="138"/>
      <c r="CC84" s="138"/>
      <c r="CD84" s="133"/>
      <c r="CE84" s="133"/>
      <c r="CF84" s="138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8"/>
      <c r="CS84" s="133"/>
      <c r="CT84" s="133"/>
      <c r="CV84" s="133"/>
      <c r="CW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</row>
    <row r="85" spans="3:138" ht="12.75">
      <c r="C85" s="133"/>
      <c r="D85" s="138"/>
      <c r="E85" s="133"/>
      <c r="F85" s="138"/>
      <c r="G85" s="138"/>
      <c r="H85" s="138"/>
      <c r="I85" s="138"/>
      <c r="J85" s="138"/>
      <c r="K85" s="133"/>
      <c r="L85" s="138"/>
      <c r="M85" s="133"/>
      <c r="N85" s="138"/>
      <c r="O85" s="138"/>
      <c r="P85" s="138"/>
      <c r="Q85" s="133"/>
      <c r="R85" s="138"/>
      <c r="S85" s="133"/>
      <c r="T85" s="138"/>
      <c r="U85" s="133"/>
      <c r="V85" s="138"/>
      <c r="W85" s="133"/>
      <c r="X85" s="138"/>
      <c r="Y85" s="138"/>
      <c r="Z85" s="133"/>
      <c r="AA85" s="138"/>
      <c r="AB85" s="133"/>
      <c r="AC85" s="138"/>
      <c r="AD85" s="133"/>
      <c r="AE85" s="133"/>
      <c r="AF85" s="138"/>
      <c r="AG85" s="133"/>
      <c r="AH85" s="133"/>
      <c r="AI85" s="133"/>
      <c r="AJ85" s="133"/>
      <c r="AK85" s="138"/>
      <c r="AL85" s="133"/>
      <c r="AM85" s="138"/>
      <c r="AN85" s="133"/>
      <c r="AO85" s="138"/>
      <c r="AP85" s="133"/>
      <c r="AQ85" s="138"/>
      <c r="AR85" s="133"/>
      <c r="AS85" s="133"/>
      <c r="AT85" s="138"/>
      <c r="AU85" s="133"/>
      <c r="AV85" s="138"/>
      <c r="AW85" s="133"/>
      <c r="AX85" s="138"/>
      <c r="AY85" s="133"/>
      <c r="AZ85" s="133"/>
      <c r="BA85" s="138"/>
      <c r="BB85" s="133"/>
      <c r="BC85" s="133"/>
      <c r="BD85" s="138"/>
      <c r="BE85" s="133"/>
      <c r="BF85" s="138"/>
      <c r="BG85" s="133"/>
      <c r="BH85" s="138"/>
      <c r="BI85" s="133"/>
      <c r="BJ85" s="138"/>
      <c r="BK85" s="133"/>
      <c r="BL85" s="133"/>
      <c r="BM85" s="138"/>
      <c r="BN85" s="138"/>
      <c r="BO85" s="133"/>
      <c r="BP85" s="133"/>
      <c r="BQ85" s="133"/>
      <c r="BR85" s="133"/>
      <c r="BS85" s="133"/>
      <c r="BT85" s="138"/>
      <c r="BU85" s="138"/>
      <c r="BV85" s="138"/>
      <c r="BW85" s="133"/>
      <c r="BX85" s="133"/>
      <c r="BY85" s="133"/>
      <c r="BZ85" s="138"/>
      <c r="CA85" s="133"/>
      <c r="CB85" s="138"/>
      <c r="CC85" s="138"/>
      <c r="CD85" s="133"/>
      <c r="CE85" s="133"/>
      <c r="CF85" s="138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8"/>
      <c r="CS85" s="133"/>
      <c r="CT85" s="133"/>
      <c r="CV85" s="133"/>
      <c r="CW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</row>
    <row r="86" spans="3:138" ht="12.75">
      <c r="C86" s="133"/>
      <c r="D86" s="138"/>
      <c r="E86" s="133"/>
      <c r="F86" s="138"/>
      <c r="G86" s="138"/>
      <c r="H86" s="138"/>
      <c r="I86" s="138"/>
      <c r="J86" s="138"/>
      <c r="K86" s="133"/>
      <c r="L86" s="138"/>
      <c r="M86" s="133"/>
      <c r="N86" s="138"/>
      <c r="O86" s="138"/>
      <c r="P86" s="138"/>
      <c r="Q86" s="133"/>
      <c r="R86" s="138"/>
      <c r="S86" s="133"/>
      <c r="T86" s="138"/>
      <c r="U86" s="133"/>
      <c r="V86" s="138"/>
      <c r="W86" s="133"/>
      <c r="X86" s="138"/>
      <c r="Y86" s="138"/>
      <c r="Z86" s="133"/>
      <c r="AA86" s="138"/>
      <c r="AB86" s="133"/>
      <c r="AC86" s="138"/>
      <c r="AD86" s="133"/>
      <c r="AE86" s="133"/>
      <c r="AF86" s="138"/>
      <c r="AG86" s="133"/>
      <c r="AH86" s="133"/>
      <c r="AI86" s="133"/>
      <c r="AJ86" s="133"/>
      <c r="AK86" s="138"/>
      <c r="AL86" s="133"/>
      <c r="AM86" s="138"/>
      <c r="AN86" s="133"/>
      <c r="AO86" s="138"/>
      <c r="AP86" s="133"/>
      <c r="AQ86" s="138"/>
      <c r="AR86" s="133"/>
      <c r="AS86" s="133"/>
      <c r="AT86" s="138"/>
      <c r="AU86" s="133"/>
      <c r="AV86" s="138"/>
      <c r="AW86" s="133"/>
      <c r="AX86" s="138"/>
      <c r="AY86" s="133"/>
      <c r="AZ86" s="133"/>
      <c r="BA86" s="138"/>
      <c r="BB86" s="133"/>
      <c r="BC86" s="133"/>
      <c r="BD86" s="138"/>
      <c r="BE86" s="133"/>
      <c r="BF86" s="138"/>
      <c r="BG86" s="133"/>
      <c r="BH86" s="138"/>
      <c r="BI86" s="133"/>
      <c r="BJ86" s="138"/>
      <c r="BK86" s="133"/>
      <c r="BL86" s="133"/>
      <c r="BM86" s="138"/>
      <c r="BN86" s="138"/>
      <c r="BO86" s="133"/>
      <c r="BP86" s="133"/>
      <c r="BQ86" s="133"/>
      <c r="BR86" s="133"/>
      <c r="BS86" s="133"/>
      <c r="BT86" s="138"/>
      <c r="BU86" s="138"/>
      <c r="BV86" s="138"/>
      <c r="BW86" s="133"/>
      <c r="BX86" s="133"/>
      <c r="BY86" s="133"/>
      <c r="BZ86" s="138"/>
      <c r="CA86" s="133"/>
      <c r="CB86" s="138"/>
      <c r="CC86" s="138"/>
      <c r="CD86" s="133"/>
      <c r="CE86" s="133"/>
      <c r="CF86" s="138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8"/>
      <c r="CS86" s="133"/>
      <c r="CT86" s="133"/>
      <c r="CV86" s="133"/>
      <c r="CW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</row>
    <row r="87" spans="3:138" ht="12.75">
      <c r="C87" s="133"/>
      <c r="D87" s="138"/>
      <c r="E87" s="133"/>
      <c r="F87" s="138"/>
      <c r="G87" s="138"/>
      <c r="H87" s="138"/>
      <c r="I87" s="138"/>
      <c r="J87" s="138"/>
      <c r="K87" s="133"/>
      <c r="L87" s="138"/>
      <c r="M87" s="133"/>
      <c r="N87" s="138"/>
      <c r="O87" s="138"/>
      <c r="P87" s="138"/>
      <c r="Q87" s="133"/>
      <c r="R87" s="138"/>
      <c r="S87" s="133"/>
      <c r="T87" s="138"/>
      <c r="U87" s="133"/>
      <c r="V87" s="138"/>
      <c r="W87" s="133"/>
      <c r="X87" s="138"/>
      <c r="Y87" s="138"/>
      <c r="Z87" s="133"/>
      <c r="AA87" s="138"/>
      <c r="AB87" s="133"/>
      <c r="AC87" s="138"/>
      <c r="AD87" s="133"/>
      <c r="AE87" s="133"/>
      <c r="AF87" s="138"/>
      <c r="AG87" s="133"/>
      <c r="AH87" s="133"/>
      <c r="AI87" s="133"/>
      <c r="AJ87" s="133"/>
      <c r="AK87" s="138"/>
      <c r="AL87" s="133"/>
      <c r="AM87" s="138"/>
      <c r="AN87" s="133"/>
      <c r="AO87" s="138"/>
      <c r="AP87" s="133"/>
      <c r="AQ87" s="138"/>
      <c r="AR87" s="133"/>
      <c r="AS87" s="133"/>
      <c r="AT87" s="138"/>
      <c r="AU87" s="133"/>
      <c r="AV87" s="138"/>
      <c r="AW87" s="133"/>
      <c r="AX87" s="138"/>
      <c r="AY87" s="133"/>
      <c r="AZ87" s="133"/>
      <c r="BA87" s="138"/>
      <c r="BB87" s="133"/>
      <c r="BC87" s="133"/>
      <c r="BD87" s="138"/>
      <c r="BE87" s="133"/>
      <c r="BF87" s="138"/>
      <c r="BG87" s="133"/>
      <c r="BH87" s="138"/>
      <c r="BI87" s="133"/>
      <c r="BJ87" s="138"/>
      <c r="BK87" s="133"/>
      <c r="BL87" s="133"/>
      <c r="BM87" s="138"/>
      <c r="BN87" s="138"/>
      <c r="BO87" s="133"/>
      <c r="BP87" s="133"/>
      <c r="BQ87" s="133"/>
      <c r="BR87" s="133"/>
      <c r="BS87" s="133"/>
      <c r="BT87" s="138"/>
      <c r="BU87" s="138"/>
      <c r="BV87" s="138"/>
      <c r="BW87" s="133"/>
      <c r="BX87" s="133"/>
      <c r="BY87" s="133"/>
      <c r="BZ87" s="138"/>
      <c r="CA87" s="133"/>
      <c r="CB87" s="138"/>
      <c r="CC87" s="138"/>
      <c r="CD87" s="133"/>
      <c r="CE87" s="133"/>
      <c r="CF87" s="138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8"/>
      <c r="CS87" s="133"/>
      <c r="CT87" s="133"/>
      <c r="CV87" s="133"/>
      <c r="CW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</row>
    <row r="88" spans="3:138" ht="12.75">
      <c r="C88" s="133"/>
      <c r="D88" s="138"/>
      <c r="E88" s="133"/>
      <c r="F88" s="138"/>
      <c r="G88" s="138"/>
      <c r="H88" s="138"/>
      <c r="I88" s="138"/>
      <c r="J88" s="138"/>
      <c r="K88" s="133"/>
      <c r="L88" s="138"/>
      <c r="M88" s="133"/>
      <c r="N88" s="138"/>
      <c r="O88" s="138"/>
      <c r="P88" s="138"/>
      <c r="Q88" s="133"/>
      <c r="R88" s="138"/>
      <c r="S88" s="133"/>
      <c r="T88" s="138"/>
      <c r="U88" s="133"/>
      <c r="V88" s="138"/>
      <c r="W88" s="133"/>
      <c r="X88" s="138"/>
      <c r="Y88" s="138"/>
      <c r="Z88" s="133"/>
      <c r="AA88" s="138"/>
      <c r="AB88" s="133"/>
      <c r="AC88" s="138"/>
      <c r="AD88" s="133"/>
      <c r="AE88" s="133"/>
      <c r="AF88" s="138"/>
      <c r="AG88" s="133"/>
      <c r="AH88" s="133"/>
      <c r="AI88" s="133"/>
      <c r="AJ88" s="133"/>
      <c r="AK88" s="138"/>
      <c r="AL88" s="133"/>
      <c r="AM88" s="138"/>
      <c r="AN88" s="133"/>
      <c r="AO88" s="138"/>
      <c r="AP88" s="133"/>
      <c r="AQ88" s="138"/>
      <c r="AR88" s="133"/>
      <c r="AS88" s="133"/>
      <c r="AT88" s="138"/>
      <c r="AU88" s="133"/>
      <c r="AV88" s="138"/>
      <c r="AW88" s="133"/>
      <c r="AX88" s="138"/>
      <c r="AY88" s="133"/>
      <c r="AZ88" s="133"/>
      <c r="BA88" s="138"/>
      <c r="BB88" s="133"/>
      <c r="BC88" s="133"/>
      <c r="BD88" s="138"/>
      <c r="BE88" s="133"/>
      <c r="BF88" s="138"/>
      <c r="BG88" s="133"/>
      <c r="BH88" s="138"/>
      <c r="BI88" s="133"/>
      <c r="BJ88" s="138"/>
      <c r="BK88" s="133"/>
      <c r="BL88" s="133"/>
      <c r="BM88" s="138"/>
      <c r="BN88" s="138"/>
      <c r="BO88" s="133"/>
      <c r="BP88" s="133"/>
      <c r="BQ88" s="133"/>
      <c r="BR88" s="133"/>
      <c r="BS88" s="133"/>
      <c r="BT88" s="138"/>
      <c r="BU88" s="138"/>
      <c r="BV88" s="138"/>
      <c r="BW88" s="133"/>
      <c r="BX88" s="133"/>
      <c r="BY88" s="133"/>
      <c r="BZ88" s="138"/>
      <c r="CA88" s="133"/>
      <c r="CB88" s="138"/>
      <c r="CC88" s="138"/>
      <c r="CD88" s="133"/>
      <c r="CE88" s="133"/>
      <c r="CF88" s="138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8"/>
      <c r="CS88" s="133"/>
      <c r="CT88" s="133"/>
      <c r="CV88" s="133"/>
      <c r="CW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</row>
    <row r="89" spans="3:138" ht="12.75">
      <c r="C89" s="133"/>
      <c r="D89" s="138"/>
      <c r="E89" s="133"/>
      <c r="F89" s="138"/>
      <c r="G89" s="138"/>
      <c r="H89" s="138"/>
      <c r="I89" s="138"/>
      <c r="J89" s="138"/>
      <c r="K89" s="133"/>
      <c r="L89" s="138"/>
      <c r="M89" s="133"/>
      <c r="N89" s="138"/>
      <c r="O89" s="138"/>
      <c r="P89" s="138"/>
      <c r="Q89" s="133"/>
      <c r="R89" s="138"/>
      <c r="S89" s="133"/>
      <c r="T89" s="138"/>
      <c r="U89" s="133"/>
      <c r="V89" s="138"/>
      <c r="W89" s="133"/>
      <c r="X89" s="138"/>
      <c r="Y89" s="138"/>
      <c r="Z89" s="133"/>
      <c r="AA89" s="138"/>
      <c r="AB89" s="133"/>
      <c r="AC89" s="138"/>
      <c r="AD89" s="133"/>
      <c r="AE89" s="133"/>
      <c r="AF89" s="138"/>
      <c r="AG89" s="133"/>
      <c r="AH89" s="133"/>
      <c r="AI89" s="133"/>
      <c r="AJ89" s="133"/>
      <c r="AK89" s="138"/>
      <c r="AL89" s="133"/>
      <c r="AM89" s="138"/>
      <c r="AN89" s="133"/>
      <c r="AO89" s="138"/>
      <c r="AP89" s="133"/>
      <c r="AQ89" s="138"/>
      <c r="AR89" s="133"/>
      <c r="AS89" s="133"/>
      <c r="AT89" s="138"/>
      <c r="AU89" s="133"/>
      <c r="AV89" s="138"/>
      <c r="AW89" s="133"/>
      <c r="AX89" s="138"/>
      <c r="AY89" s="133"/>
      <c r="AZ89" s="133"/>
      <c r="BA89" s="138"/>
      <c r="BB89" s="133"/>
      <c r="BC89" s="133"/>
      <c r="BD89" s="138"/>
      <c r="BE89" s="133"/>
      <c r="BF89" s="138"/>
      <c r="BG89" s="133"/>
      <c r="BH89" s="138"/>
      <c r="BI89" s="133"/>
      <c r="BJ89" s="138"/>
      <c r="BK89" s="133"/>
      <c r="BL89" s="133"/>
      <c r="BM89" s="138"/>
      <c r="BN89" s="138"/>
      <c r="BO89" s="133"/>
      <c r="BP89" s="133"/>
      <c r="BQ89" s="133"/>
      <c r="BR89" s="133"/>
      <c r="BS89" s="133"/>
      <c r="BT89" s="138"/>
      <c r="BU89" s="138"/>
      <c r="BV89" s="138"/>
      <c r="BW89" s="133"/>
      <c r="BX89" s="133"/>
      <c r="BY89" s="133"/>
      <c r="BZ89" s="138"/>
      <c r="CA89" s="133"/>
      <c r="CB89" s="138"/>
      <c r="CC89" s="138"/>
      <c r="CD89" s="133"/>
      <c r="CE89" s="133"/>
      <c r="CF89" s="138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8"/>
      <c r="CS89" s="133"/>
      <c r="CT89" s="133"/>
      <c r="CV89" s="133"/>
      <c r="CW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</row>
  </sheetData>
  <sheetProtection/>
  <printOptions/>
  <pageMargins left="0.6692913385826772" right="0.62" top="1.14" bottom="0.81" header="0.53" footer="0.5118110236220472"/>
  <pageSetup firstPageNumber="54" useFirstPageNumber="1" horizontalDpi="600" verticalDpi="600" orientation="portrait" paperSize="9" r:id="rId1"/>
  <headerFooter alignWithMargins="0">
    <oddHeader>&amp;C&amp;"Times New Roman,Bold"&amp;14 3.4. KENNITÖLUR ÁRIÐ 2000</oddHeader>
    <oddFooter>&amp;R&amp;"Times New Roman,Regular"&amp;P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BY35"/>
  <sheetViews>
    <sheetView showGridLines="0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3" sqref="E23"/>
    </sheetView>
  </sheetViews>
  <sheetFormatPr defaultColWidth="9.00390625" defaultRowHeight="12.75"/>
  <cols>
    <col min="1" max="1" width="2.875" style="210" customWidth="1"/>
    <col min="2" max="2" width="29.875" style="210" customWidth="1"/>
    <col min="3" max="8" width="9.50390625" style="91" customWidth="1"/>
    <col min="9" max="11" width="9.00390625" style="91" customWidth="1"/>
    <col min="12" max="12" width="9.50390625" style="91" customWidth="1"/>
    <col min="13" max="44" width="9.00390625" style="91" customWidth="1"/>
    <col min="45" max="45" width="9.50390625" style="91" customWidth="1"/>
    <col min="46" max="64" width="9.00390625" style="91" customWidth="1"/>
    <col min="65" max="65" width="4.625" style="91" customWidth="1"/>
    <col min="66" max="66" width="11.375" style="91" customWidth="1"/>
    <col min="67" max="67" width="9.375" style="91" customWidth="1"/>
    <col min="68" max="16384" width="9.00390625" style="91" customWidth="1"/>
  </cols>
  <sheetData>
    <row r="1" spans="1:68" ht="12.75" customHeight="1">
      <c r="A1" s="198"/>
      <c r="B1" s="198"/>
      <c r="C1" s="88" t="s">
        <v>0</v>
      </c>
      <c r="D1" s="88" t="s">
        <v>0</v>
      </c>
      <c r="E1" s="88" t="s">
        <v>0</v>
      </c>
      <c r="F1" s="88" t="s">
        <v>0</v>
      </c>
      <c r="G1" s="88" t="s">
        <v>0</v>
      </c>
      <c r="H1" s="88" t="s">
        <v>0</v>
      </c>
      <c r="I1" s="88" t="s">
        <v>0</v>
      </c>
      <c r="J1" s="88" t="s">
        <v>1</v>
      </c>
      <c r="K1" s="88" t="s">
        <v>0</v>
      </c>
      <c r="L1" s="88" t="s">
        <v>0</v>
      </c>
      <c r="M1" s="88" t="s">
        <v>0</v>
      </c>
      <c r="N1" s="88" t="s">
        <v>2</v>
      </c>
      <c r="O1" s="88" t="s">
        <v>0</v>
      </c>
      <c r="P1" s="88" t="s">
        <v>0</v>
      </c>
      <c r="Q1" s="88" t="s">
        <v>3</v>
      </c>
      <c r="R1" s="88" t="s">
        <v>0</v>
      </c>
      <c r="S1" s="88" t="s">
        <v>0</v>
      </c>
      <c r="T1" s="88" t="s">
        <v>0</v>
      </c>
      <c r="U1" s="88" t="s">
        <v>0</v>
      </c>
      <c r="V1" s="88" t="s">
        <v>0</v>
      </c>
      <c r="W1" s="90" t="s">
        <v>0</v>
      </c>
      <c r="X1" s="88" t="s">
        <v>0</v>
      </c>
      <c r="Y1" s="88" t="s">
        <v>5</v>
      </c>
      <c r="Z1" s="88" t="s">
        <v>7</v>
      </c>
      <c r="AA1" s="88" t="s">
        <v>0</v>
      </c>
      <c r="AB1" s="88" t="s">
        <v>0</v>
      </c>
      <c r="AC1" s="88" t="s">
        <v>303</v>
      </c>
      <c r="AD1" s="88" t="s">
        <v>6</v>
      </c>
      <c r="AE1" s="88" t="s">
        <v>0</v>
      </c>
      <c r="AF1" s="88" t="s">
        <v>0</v>
      </c>
      <c r="AG1" s="88" t="s">
        <v>0</v>
      </c>
      <c r="AH1" s="88" t="s">
        <v>8</v>
      </c>
      <c r="AI1" s="88" t="s">
        <v>0</v>
      </c>
      <c r="AJ1" s="88" t="s">
        <v>6</v>
      </c>
      <c r="AK1" s="88" t="s">
        <v>0</v>
      </c>
      <c r="AL1" s="88" t="s">
        <v>0</v>
      </c>
      <c r="AM1" s="88" t="s">
        <v>0</v>
      </c>
      <c r="AN1" s="88" t="s">
        <v>4</v>
      </c>
      <c r="AO1" s="88" t="s">
        <v>0</v>
      </c>
      <c r="AP1" s="88" t="s">
        <v>0</v>
      </c>
      <c r="AQ1" s="88" t="s">
        <v>0</v>
      </c>
      <c r="AR1" s="88" t="s">
        <v>0</v>
      </c>
      <c r="AS1" s="88" t="s">
        <v>0</v>
      </c>
      <c r="AT1" s="88" t="s">
        <v>4</v>
      </c>
      <c r="AU1" s="88" t="s">
        <v>0</v>
      </c>
      <c r="AV1" s="88" t="s">
        <v>50</v>
      </c>
      <c r="AW1" s="88" t="s">
        <v>4</v>
      </c>
      <c r="AX1" s="88" t="s">
        <v>0</v>
      </c>
      <c r="AY1" s="88" t="s">
        <v>0</v>
      </c>
      <c r="AZ1" s="88" t="s">
        <v>0</v>
      </c>
      <c r="BA1" s="88" t="s">
        <v>0</v>
      </c>
      <c r="BB1" s="88" t="s">
        <v>4</v>
      </c>
      <c r="BC1" s="88" t="s">
        <v>4</v>
      </c>
      <c r="BD1" s="88" t="s">
        <v>4</v>
      </c>
      <c r="BE1" s="88" t="s">
        <v>0</v>
      </c>
      <c r="BF1" s="88" t="s">
        <v>6</v>
      </c>
      <c r="BG1" s="88" t="s">
        <v>0</v>
      </c>
      <c r="BH1" s="88" t="s">
        <v>0</v>
      </c>
      <c r="BI1" s="88" t="s">
        <v>4</v>
      </c>
      <c r="BJ1" s="88" t="s">
        <v>9</v>
      </c>
      <c r="BK1" s="88" t="s">
        <v>0</v>
      </c>
      <c r="BL1" s="88" t="s">
        <v>0</v>
      </c>
      <c r="BN1" s="90" t="s">
        <v>10</v>
      </c>
      <c r="BO1" s="90" t="s">
        <v>0</v>
      </c>
      <c r="BP1" s="90" t="s">
        <v>0</v>
      </c>
    </row>
    <row r="2" spans="1:68" ht="12.75">
      <c r="A2" s="198"/>
      <c r="B2" s="198" t="s">
        <v>458</v>
      </c>
      <c r="C2" s="88" t="s">
        <v>12</v>
      </c>
      <c r="D2" s="88" t="s">
        <v>413</v>
      </c>
      <c r="E2" s="88" t="s">
        <v>413</v>
      </c>
      <c r="F2" s="88" t="s">
        <v>413</v>
      </c>
      <c r="G2" s="88" t="s">
        <v>413</v>
      </c>
      <c r="H2" s="88" t="s">
        <v>413</v>
      </c>
      <c r="I2" s="88" t="s">
        <v>16</v>
      </c>
      <c r="J2" s="88" t="s">
        <v>15</v>
      </c>
      <c r="K2" s="88" t="s">
        <v>13</v>
      </c>
      <c r="L2" s="88" t="s">
        <v>13</v>
      </c>
      <c r="M2" s="88" t="s">
        <v>17</v>
      </c>
      <c r="N2" s="88" t="s">
        <v>15</v>
      </c>
      <c r="O2" s="88" t="s">
        <v>311</v>
      </c>
      <c r="P2" s="88" t="s">
        <v>268</v>
      </c>
      <c r="Q2" s="88" t="s">
        <v>15</v>
      </c>
      <c r="R2" s="88" t="s">
        <v>19</v>
      </c>
      <c r="S2" s="88" t="s">
        <v>20</v>
      </c>
      <c r="T2" s="88" t="s">
        <v>22</v>
      </c>
      <c r="U2" s="88" t="s">
        <v>18</v>
      </c>
      <c r="V2" s="88" t="s">
        <v>21</v>
      </c>
      <c r="W2" s="90" t="s">
        <v>322</v>
      </c>
      <c r="X2" s="88" t="s">
        <v>23</v>
      </c>
      <c r="Y2" s="88" t="s">
        <v>15</v>
      </c>
      <c r="Z2" s="88" t="s">
        <v>30</v>
      </c>
      <c r="AA2" s="88" t="s">
        <v>25</v>
      </c>
      <c r="AB2" s="88" t="s">
        <v>24</v>
      </c>
      <c r="AC2" s="88" t="s">
        <v>46</v>
      </c>
      <c r="AD2" s="88" t="s">
        <v>29</v>
      </c>
      <c r="AE2" s="88" t="s">
        <v>14</v>
      </c>
      <c r="AF2" s="88" t="s">
        <v>313</v>
      </c>
      <c r="AG2" s="88" t="s">
        <v>71</v>
      </c>
      <c r="AH2" s="88" t="s">
        <v>15</v>
      </c>
      <c r="AI2" s="88" t="s">
        <v>26</v>
      </c>
      <c r="AJ2" s="88" t="s">
        <v>29</v>
      </c>
      <c r="AK2" s="88" t="s">
        <v>27</v>
      </c>
      <c r="AL2" s="88" t="s">
        <v>14</v>
      </c>
      <c r="AM2" s="88" t="s">
        <v>28</v>
      </c>
      <c r="AN2" s="88" t="s">
        <v>14</v>
      </c>
      <c r="AO2" s="88" t="s">
        <v>31</v>
      </c>
      <c r="AP2" s="88" t="s">
        <v>32</v>
      </c>
      <c r="AQ2" s="88" t="s">
        <v>33</v>
      </c>
      <c r="AR2" s="88" t="s">
        <v>14</v>
      </c>
      <c r="AS2" s="88" t="s">
        <v>14</v>
      </c>
      <c r="AT2" s="88" t="s">
        <v>34</v>
      </c>
      <c r="AU2" s="88" t="s">
        <v>36</v>
      </c>
      <c r="AV2" s="88" t="s">
        <v>15</v>
      </c>
      <c r="AW2" s="88" t="s">
        <v>37</v>
      </c>
      <c r="AX2" s="88" t="s">
        <v>35</v>
      </c>
      <c r="AY2" s="88" t="s">
        <v>39</v>
      </c>
      <c r="AZ2" s="88" t="s">
        <v>38</v>
      </c>
      <c r="BA2" s="88" t="s">
        <v>41</v>
      </c>
      <c r="BB2" s="88" t="s">
        <v>40</v>
      </c>
      <c r="BC2" s="88" t="s">
        <v>42</v>
      </c>
      <c r="BD2" s="88" t="s">
        <v>298</v>
      </c>
      <c r="BE2" s="88" t="s">
        <v>14</v>
      </c>
      <c r="BF2" s="88" t="s">
        <v>29</v>
      </c>
      <c r="BG2" s="88" t="s">
        <v>43</v>
      </c>
      <c r="BH2" s="88" t="s">
        <v>45</v>
      </c>
      <c r="BI2" s="88" t="s">
        <v>44</v>
      </c>
      <c r="BJ2" s="88" t="s">
        <v>46</v>
      </c>
      <c r="BK2" s="88" t="s">
        <v>47</v>
      </c>
      <c r="BL2" s="88" t="s">
        <v>48</v>
      </c>
      <c r="BN2" s="90" t="s">
        <v>49</v>
      </c>
      <c r="BO2" s="90" t="s">
        <v>310</v>
      </c>
      <c r="BP2" s="90" t="s">
        <v>349</v>
      </c>
    </row>
    <row r="3" spans="1:68" ht="12.75">
      <c r="A3" s="199"/>
      <c r="B3" s="198"/>
      <c r="C3" s="88" t="s">
        <v>51</v>
      </c>
      <c r="D3" s="88" t="s">
        <v>135</v>
      </c>
      <c r="E3" s="88" t="s">
        <v>135</v>
      </c>
      <c r="F3" s="200" t="s">
        <v>416</v>
      </c>
      <c r="G3" s="200" t="s">
        <v>418</v>
      </c>
      <c r="H3" s="200" t="s">
        <v>436</v>
      </c>
      <c r="I3" s="88" t="s">
        <v>135</v>
      </c>
      <c r="J3" s="88" t="s">
        <v>29</v>
      </c>
      <c r="K3" s="88" t="s">
        <v>135</v>
      </c>
      <c r="L3" s="88" t="s">
        <v>436</v>
      </c>
      <c r="M3" s="88" t="s">
        <v>53</v>
      </c>
      <c r="N3" s="88" t="s">
        <v>52</v>
      </c>
      <c r="O3" s="88" t="s">
        <v>66</v>
      </c>
      <c r="P3" s="88" t="s">
        <v>135</v>
      </c>
      <c r="Q3" s="88" t="s">
        <v>29</v>
      </c>
      <c r="R3" s="88" t="s">
        <v>53</v>
      </c>
      <c r="S3" s="88" t="s">
        <v>54</v>
      </c>
      <c r="T3" s="88" t="s">
        <v>135</v>
      </c>
      <c r="U3" s="88" t="s">
        <v>135</v>
      </c>
      <c r="V3" s="88" t="s">
        <v>55</v>
      </c>
      <c r="W3" s="90" t="s">
        <v>321</v>
      </c>
      <c r="X3" s="88" t="s">
        <v>300</v>
      </c>
      <c r="Y3" s="88" t="s">
        <v>29</v>
      </c>
      <c r="Z3" s="88" t="s">
        <v>62</v>
      </c>
      <c r="AA3" s="88" t="s">
        <v>203</v>
      </c>
      <c r="AB3" s="88" t="s">
        <v>53</v>
      </c>
      <c r="AC3" s="88" t="s">
        <v>304</v>
      </c>
      <c r="AD3" s="88" t="s">
        <v>77</v>
      </c>
      <c r="AE3" s="88" t="s">
        <v>323</v>
      </c>
      <c r="AF3" s="88" t="s">
        <v>314</v>
      </c>
      <c r="AG3" s="88"/>
      <c r="AH3" s="88" t="s">
        <v>73</v>
      </c>
      <c r="AI3" s="88" t="s">
        <v>57</v>
      </c>
      <c r="AJ3" s="88" t="s">
        <v>61</v>
      </c>
      <c r="AK3" s="88"/>
      <c r="AL3" s="88" t="s">
        <v>58</v>
      </c>
      <c r="AM3" s="88" t="s">
        <v>59</v>
      </c>
      <c r="AN3" s="88" t="s">
        <v>60</v>
      </c>
      <c r="AO3" s="88" t="s">
        <v>63</v>
      </c>
      <c r="AP3" s="88" t="s">
        <v>64</v>
      </c>
      <c r="AQ3" s="88"/>
      <c r="AR3" s="88" t="s">
        <v>315</v>
      </c>
      <c r="AS3" s="88" t="s">
        <v>315</v>
      </c>
      <c r="AT3" s="88" t="s">
        <v>65</v>
      </c>
      <c r="AU3" s="88" t="s">
        <v>68</v>
      </c>
      <c r="AV3" s="88" t="s">
        <v>29</v>
      </c>
      <c r="AW3" s="88" t="s">
        <v>318</v>
      </c>
      <c r="AX3" s="88" t="s">
        <v>67</v>
      </c>
      <c r="AY3" s="88" t="s">
        <v>56</v>
      </c>
      <c r="AZ3" s="88" t="s">
        <v>70</v>
      </c>
      <c r="BA3" s="88" t="s">
        <v>69</v>
      </c>
      <c r="BB3" s="88" t="s">
        <v>71</v>
      </c>
      <c r="BC3" s="88" t="s">
        <v>72</v>
      </c>
      <c r="BD3" s="88" t="s">
        <v>76</v>
      </c>
      <c r="BE3" s="88" t="s">
        <v>74</v>
      </c>
      <c r="BF3" s="88" t="s">
        <v>75</v>
      </c>
      <c r="BG3" s="88" t="s">
        <v>78</v>
      </c>
      <c r="BH3" s="88" t="s">
        <v>80</v>
      </c>
      <c r="BI3" s="88" t="s">
        <v>79</v>
      </c>
      <c r="BJ3" s="88" t="s">
        <v>81</v>
      </c>
      <c r="BK3" s="88" t="s">
        <v>82</v>
      </c>
      <c r="BL3" s="88" t="s">
        <v>83</v>
      </c>
      <c r="BN3" s="90" t="s">
        <v>84</v>
      </c>
      <c r="BO3" s="90" t="s">
        <v>309</v>
      </c>
      <c r="BP3" s="90" t="s">
        <v>309</v>
      </c>
    </row>
    <row r="4" spans="1:68" ht="12.75">
      <c r="A4" s="201"/>
      <c r="B4" s="199"/>
      <c r="C4" s="95" t="s">
        <v>85</v>
      </c>
      <c r="D4" s="202" t="s">
        <v>414</v>
      </c>
      <c r="E4" s="202" t="s">
        <v>415</v>
      </c>
      <c r="F4" s="202" t="s">
        <v>417</v>
      </c>
      <c r="G4" s="202" t="s">
        <v>419</v>
      </c>
      <c r="H4" s="202" t="s">
        <v>419</v>
      </c>
      <c r="I4" s="95" t="s">
        <v>87</v>
      </c>
      <c r="J4" s="95" t="s">
        <v>88</v>
      </c>
      <c r="K4" s="95" t="s">
        <v>89</v>
      </c>
      <c r="L4" s="202" t="s">
        <v>419</v>
      </c>
      <c r="M4" s="95" t="s">
        <v>90</v>
      </c>
      <c r="N4" s="95" t="s">
        <v>91</v>
      </c>
      <c r="O4" s="95" t="s">
        <v>92</v>
      </c>
      <c r="P4" s="95" t="s">
        <v>199</v>
      </c>
      <c r="Q4" s="95" t="s">
        <v>200</v>
      </c>
      <c r="R4" s="95" t="s">
        <v>201</v>
      </c>
      <c r="S4" s="95" t="s">
        <v>93</v>
      </c>
      <c r="T4" s="95" t="s">
        <v>94</v>
      </c>
      <c r="U4" s="95" t="s">
        <v>95</v>
      </c>
      <c r="V4" s="95" t="s">
        <v>96</v>
      </c>
      <c r="W4" s="95" t="s">
        <v>97</v>
      </c>
      <c r="X4" s="95" t="s">
        <v>98</v>
      </c>
      <c r="Y4" s="95" t="s">
        <v>99</v>
      </c>
      <c r="Z4" s="95" t="s">
        <v>100</v>
      </c>
      <c r="AA4" s="95" t="s">
        <v>101</v>
      </c>
      <c r="AB4" s="95" t="s">
        <v>102</v>
      </c>
      <c r="AC4" s="95" t="s">
        <v>103</v>
      </c>
      <c r="AD4" s="95" t="s">
        <v>104</v>
      </c>
      <c r="AE4" s="95" t="s">
        <v>105</v>
      </c>
      <c r="AF4" s="95" t="s">
        <v>106</v>
      </c>
      <c r="AG4" s="95" t="s">
        <v>361</v>
      </c>
      <c r="AH4" s="95" t="s">
        <v>107</v>
      </c>
      <c r="AI4" s="95" t="s">
        <v>108</v>
      </c>
      <c r="AJ4" s="95" t="s">
        <v>109</v>
      </c>
      <c r="AK4" s="95" t="s">
        <v>110</v>
      </c>
      <c r="AL4" s="95" t="s">
        <v>111</v>
      </c>
      <c r="AM4" s="95" t="s">
        <v>112</v>
      </c>
      <c r="AN4" s="95" t="s">
        <v>113</v>
      </c>
      <c r="AO4" s="95" t="s">
        <v>114</v>
      </c>
      <c r="AP4" s="95" t="s">
        <v>115</v>
      </c>
      <c r="AQ4" s="95" t="s">
        <v>116</v>
      </c>
      <c r="AR4" s="95" t="s">
        <v>430</v>
      </c>
      <c r="AS4" s="88" t="s">
        <v>436</v>
      </c>
      <c r="AT4" s="95" t="s">
        <v>117</v>
      </c>
      <c r="AU4" s="95" t="s">
        <v>118</v>
      </c>
      <c r="AV4" s="95" t="s">
        <v>119</v>
      </c>
      <c r="AW4" s="95" t="s">
        <v>120</v>
      </c>
      <c r="AX4" s="95" t="s">
        <v>121</v>
      </c>
      <c r="AY4" s="95" t="s">
        <v>122</v>
      </c>
      <c r="AZ4" s="95" t="s">
        <v>123</v>
      </c>
      <c r="BA4" s="95" t="s">
        <v>431</v>
      </c>
      <c r="BB4" s="95" t="s">
        <v>124</v>
      </c>
      <c r="BC4" s="95" t="s">
        <v>125</v>
      </c>
      <c r="BD4" s="95" t="s">
        <v>126</v>
      </c>
      <c r="BE4" s="95" t="s">
        <v>127</v>
      </c>
      <c r="BF4" s="95" t="s">
        <v>128</v>
      </c>
      <c r="BG4" s="95" t="s">
        <v>129</v>
      </c>
      <c r="BH4" s="95" t="s">
        <v>130</v>
      </c>
      <c r="BI4" s="95" t="s">
        <v>205</v>
      </c>
      <c r="BJ4" s="95" t="s">
        <v>432</v>
      </c>
      <c r="BK4" s="95" t="s">
        <v>131</v>
      </c>
      <c r="BL4" s="95" t="s">
        <v>132</v>
      </c>
      <c r="BN4" s="97"/>
      <c r="BO4" s="97" t="s">
        <v>378</v>
      </c>
      <c r="BP4" s="97" t="s">
        <v>443</v>
      </c>
    </row>
    <row r="5" spans="1:77" ht="12.75">
      <c r="A5" s="198"/>
      <c r="B5" s="201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88" t="s">
        <v>419</v>
      </c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</row>
    <row r="6" spans="1:77" s="206" customFormat="1" ht="12.75">
      <c r="A6" s="204" t="s">
        <v>433</v>
      </c>
      <c r="B6" s="198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</row>
    <row r="7" spans="1:77" s="206" customFormat="1" ht="12.75">
      <c r="A7" s="198"/>
      <c r="B7" s="198" t="s">
        <v>434</v>
      </c>
      <c r="C7" s="205">
        <v>26414</v>
      </c>
      <c r="D7" s="205">
        <f>31555-23</f>
        <v>31532</v>
      </c>
      <c r="E7" s="205">
        <v>2380</v>
      </c>
      <c r="F7" s="205">
        <v>0</v>
      </c>
      <c r="G7" s="205">
        <v>0</v>
      </c>
      <c r="H7" s="205">
        <v>120</v>
      </c>
      <c r="I7" s="205">
        <v>12854</v>
      </c>
      <c r="J7" s="205">
        <v>11610</v>
      </c>
      <c r="K7" s="205">
        <v>18860</v>
      </c>
      <c r="L7" s="205">
        <v>3</v>
      </c>
      <c r="M7" s="205">
        <v>6861</v>
      </c>
      <c r="N7" s="205">
        <f>10802-166</f>
        <v>10636</v>
      </c>
      <c r="O7" s="205">
        <v>6866</v>
      </c>
      <c r="P7" s="205">
        <v>4489</v>
      </c>
      <c r="Q7" s="205">
        <v>2865</v>
      </c>
      <c r="R7" s="205">
        <v>1991</v>
      </c>
      <c r="S7" s="205">
        <v>2973</v>
      </c>
      <c r="T7" s="205">
        <v>3323</v>
      </c>
      <c r="U7" s="205">
        <f>4774-1762</f>
        <v>3012</v>
      </c>
      <c r="V7" s="205">
        <v>3388</v>
      </c>
      <c r="W7" s="205">
        <v>390</v>
      </c>
      <c r="X7" s="205">
        <f>3206-59</f>
        <v>3147</v>
      </c>
      <c r="Y7" s="205">
        <v>3986.371</v>
      </c>
      <c r="Z7" s="205">
        <v>2688</v>
      </c>
      <c r="AA7" s="205">
        <f>3111-AA14</f>
        <v>3089</v>
      </c>
      <c r="AB7" s="205">
        <v>2251</v>
      </c>
      <c r="AC7" s="205">
        <v>3044</v>
      </c>
      <c r="AD7" s="205">
        <v>2160</v>
      </c>
      <c r="AE7" s="205">
        <v>1101</v>
      </c>
      <c r="AF7" s="205">
        <v>1376</v>
      </c>
      <c r="AG7" s="205">
        <v>1293</v>
      </c>
      <c r="AH7" s="205">
        <v>1318</v>
      </c>
      <c r="AI7" s="205"/>
      <c r="AJ7" s="205">
        <v>321</v>
      </c>
      <c r="AK7" s="205">
        <v>1199</v>
      </c>
      <c r="AL7" s="205">
        <v>12</v>
      </c>
      <c r="AM7" s="205">
        <v>827</v>
      </c>
      <c r="AN7" s="205">
        <v>1008</v>
      </c>
      <c r="AO7" s="205">
        <f>1179-3</f>
        <v>1176</v>
      </c>
      <c r="AP7" s="205">
        <v>636</v>
      </c>
      <c r="AQ7" s="205">
        <v>21</v>
      </c>
      <c r="AR7" s="205">
        <v>335</v>
      </c>
      <c r="AS7" s="205">
        <v>6</v>
      </c>
      <c r="AT7" s="205">
        <v>681</v>
      </c>
      <c r="AU7" s="205">
        <v>288</v>
      </c>
      <c r="AV7" s="205">
        <v>189</v>
      </c>
      <c r="AW7" s="205">
        <v>340</v>
      </c>
      <c r="AX7" s="205">
        <f>619-8</f>
        <v>611</v>
      </c>
      <c r="AY7" s="205">
        <v>449</v>
      </c>
      <c r="AZ7" s="205">
        <v>397</v>
      </c>
      <c r="BA7" s="205">
        <f>412-26</f>
        <v>386</v>
      </c>
      <c r="BB7" s="205">
        <v>152</v>
      </c>
      <c r="BC7" s="205">
        <f>397-25</f>
        <v>372</v>
      </c>
      <c r="BD7" s="205">
        <v>143</v>
      </c>
      <c r="BE7" s="205">
        <v>317</v>
      </c>
      <c r="BF7" s="205">
        <v>157</v>
      </c>
      <c r="BG7" s="205">
        <v>76</v>
      </c>
      <c r="BH7" s="205">
        <v>61</v>
      </c>
      <c r="BI7" s="205">
        <v>19</v>
      </c>
      <c r="BJ7" s="205">
        <v>8</v>
      </c>
      <c r="BK7" s="205">
        <v>7</v>
      </c>
      <c r="BL7" s="205">
        <v>8</v>
      </c>
      <c r="BM7" s="205"/>
      <c r="BN7" s="205">
        <f>SUM(C7:BM7)</f>
        <v>186222.371</v>
      </c>
      <c r="BO7" s="43">
        <f>+D7+E7+F7+G7+H7+AA7+AL7+AN7+AR7+AS7+AU7+AW7+AZ7+BA7+BD7+BG7+BH7+BI7+BK7</f>
        <v>40199</v>
      </c>
      <c r="BP7" s="43">
        <f>+C7+I7+J7+K7+L7+M7+N7+O7+P7+Q7+R7+S7+T7+U7+V7+W7+X7+Y7+Z7+AB7+AC7+AD7+AE7+AF7+AG7+AH7+AI7+AJ7+AK7+AM7+AO7+AP7+AQ7+AT7+AV7+AX7+AY7+BB7+BC7+BE7+BF7+BJ7+BL7</f>
        <v>146023.37099999998</v>
      </c>
      <c r="BQ7" s="43"/>
      <c r="BR7" s="43"/>
      <c r="BS7" s="43"/>
      <c r="BT7" s="43"/>
      <c r="BU7" s="43"/>
      <c r="BV7" s="43"/>
      <c r="BW7" s="43"/>
      <c r="BX7" s="43"/>
      <c r="BY7" s="43"/>
    </row>
    <row r="8" spans="1:77" s="206" customFormat="1" ht="12.75">
      <c r="A8" s="198"/>
      <c r="B8" s="198" t="s">
        <v>456</v>
      </c>
      <c r="C8" s="205">
        <v>308</v>
      </c>
      <c r="D8" s="205">
        <f>1382-574</f>
        <v>808</v>
      </c>
      <c r="E8" s="205">
        <f>576-376</f>
        <v>200</v>
      </c>
      <c r="F8" s="205">
        <v>0</v>
      </c>
      <c r="G8" s="205">
        <v>0</v>
      </c>
      <c r="H8" s="205">
        <v>0</v>
      </c>
      <c r="I8" s="205">
        <v>844</v>
      </c>
      <c r="J8" s="205">
        <v>490</v>
      </c>
      <c r="K8" s="205">
        <v>385</v>
      </c>
      <c r="L8" s="205">
        <v>0</v>
      </c>
      <c r="M8" s="205">
        <v>213</v>
      </c>
      <c r="N8" s="205">
        <v>529</v>
      </c>
      <c r="O8" s="205">
        <v>0</v>
      </c>
      <c r="P8" s="205">
        <v>99</v>
      </c>
      <c r="Q8" s="205">
        <v>79</v>
      </c>
      <c r="R8" s="205">
        <v>28</v>
      </c>
      <c r="S8" s="205">
        <v>255</v>
      </c>
      <c r="T8" s="205">
        <v>71</v>
      </c>
      <c r="U8" s="205">
        <v>519</v>
      </c>
      <c r="V8" s="205">
        <v>405</v>
      </c>
      <c r="W8" s="205">
        <f>179-149</f>
        <v>30</v>
      </c>
      <c r="X8" s="205">
        <f>411-281</f>
        <v>130</v>
      </c>
      <c r="Y8" s="205">
        <v>321</v>
      </c>
      <c r="Z8" s="205">
        <v>57</v>
      </c>
      <c r="AA8" s="205">
        <f>328-224</f>
        <v>104</v>
      </c>
      <c r="AB8" s="205">
        <v>82</v>
      </c>
      <c r="AC8" s="205">
        <v>40</v>
      </c>
      <c r="AD8" s="205">
        <v>43</v>
      </c>
      <c r="AE8" s="205">
        <v>56</v>
      </c>
      <c r="AF8" s="205">
        <v>29</v>
      </c>
      <c r="AG8" s="205">
        <v>36</v>
      </c>
      <c r="AH8" s="205">
        <v>29</v>
      </c>
      <c r="AI8" s="205"/>
      <c r="AJ8" s="205">
        <v>0</v>
      </c>
      <c r="AK8" s="205">
        <v>0</v>
      </c>
      <c r="AL8" s="205">
        <v>0</v>
      </c>
      <c r="AM8" s="205">
        <v>16</v>
      </c>
      <c r="AN8" s="205">
        <v>23</v>
      </c>
      <c r="AO8" s="205">
        <f>41-26</f>
        <v>15</v>
      </c>
      <c r="AP8" s="205">
        <v>6</v>
      </c>
      <c r="AQ8" s="205">
        <v>0</v>
      </c>
      <c r="AR8" s="205">
        <v>0</v>
      </c>
      <c r="AS8" s="205">
        <v>0</v>
      </c>
      <c r="AT8" s="205">
        <v>8</v>
      </c>
      <c r="AU8" s="205">
        <v>0</v>
      </c>
      <c r="AV8" s="205">
        <v>0</v>
      </c>
      <c r="AW8" s="205">
        <f>48-19</f>
        <v>29</v>
      </c>
      <c r="AX8" s="205">
        <f>6-5</f>
        <v>1</v>
      </c>
      <c r="AY8" s="205">
        <v>11</v>
      </c>
      <c r="AZ8" s="205">
        <v>18</v>
      </c>
      <c r="BA8" s="205">
        <v>0</v>
      </c>
      <c r="BB8" s="205">
        <v>4</v>
      </c>
      <c r="BC8" s="205">
        <v>0</v>
      </c>
      <c r="BD8" s="205">
        <v>1</v>
      </c>
      <c r="BE8" s="205">
        <v>0</v>
      </c>
      <c r="BF8" s="205">
        <v>29</v>
      </c>
      <c r="BG8" s="205">
        <v>0</v>
      </c>
      <c r="BH8" s="205">
        <v>0</v>
      </c>
      <c r="BI8" s="205">
        <v>0</v>
      </c>
      <c r="BJ8" s="205">
        <v>0</v>
      </c>
      <c r="BK8" s="205">
        <v>0</v>
      </c>
      <c r="BL8" s="205">
        <v>0</v>
      </c>
      <c r="BM8" s="205"/>
      <c r="BN8" s="205">
        <f>SUM(C8:BM8)</f>
        <v>6351</v>
      </c>
      <c r="BO8" s="43">
        <f>+D8+E8+F8+G8+H8+AA8+AL8+AN8+AR8+AS8+AU8+AW8+AZ8+BA8+BD8+BG8+BH8+BI8+BK8</f>
        <v>1183</v>
      </c>
      <c r="BP8" s="43">
        <f>+C8+I8+J8+K8+L8+M8+N8+O8+P8+Q8+R8+S8+T8+U8+V8+W8+X8+Y8+Z8+AB8+AC8+AD8+AE8+AF8+AG8+AH8+AI8+AJ8+AK8+AM8+AO8+AP8+AQ8+AT8+AV8+AX8+AY8+BB8+BC8+BE8+BF8+BJ8+BL8</f>
        <v>5168</v>
      </c>
      <c r="BQ8" s="43"/>
      <c r="BR8" s="43"/>
      <c r="BS8" s="43"/>
      <c r="BT8" s="43"/>
      <c r="BU8" s="43"/>
      <c r="BV8" s="43"/>
      <c r="BW8" s="43"/>
      <c r="BX8" s="43"/>
      <c r="BY8" s="43"/>
    </row>
    <row r="9" spans="1:77" s="206" customFormat="1" ht="12.75">
      <c r="A9" s="198"/>
      <c r="B9" s="198" t="s">
        <v>457</v>
      </c>
      <c r="C9" s="205">
        <v>4271</v>
      </c>
      <c r="D9" s="205">
        <f>5334-1319</f>
        <v>4015</v>
      </c>
      <c r="E9" s="205">
        <f>1570-132</f>
        <v>1438</v>
      </c>
      <c r="F9" s="205">
        <v>0</v>
      </c>
      <c r="G9" s="205">
        <v>0</v>
      </c>
      <c r="H9" s="205">
        <v>70</v>
      </c>
      <c r="I9" s="205">
        <v>2593</v>
      </c>
      <c r="J9" s="205">
        <v>2364</v>
      </c>
      <c r="K9" s="205">
        <v>1904</v>
      </c>
      <c r="L9" s="205">
        <v>0</v>
      </c>
      <c r="M9" s="205">
        <v>1206</v>
      </c>
      <c r="N9" s="205">
        <v>1946</v>
      </c>
      <c r="O9" s="205">
        <v>1453</v>
      </c>
      <c r="P9" s="205">
        <v>290</v>
      </c>
      <c r="Q9" s="205">
        <v>1605</v>
      </c>
      <c r="R9" s="205">
        <v>902</v>
      </c>
      <c r="S9" s="205">
        <v>1010</v>
      </c>
      <c r="T9" s="205">
        <v>444</v>
      </c>
      <c r="U9" s="205">
        <v>1204</v>
      </c>
      <c r="V9" s="205">
        <v>1105</v>
      </c>
      <c r="W9" s="205">
        <f>381-250</f>
        <v>131</v>
      </c>
      <c r="X9" s="205">
        <f>1382-423</f>
        <v>959</v>
      </c>
      <c r="Y9" s="205">
        <v>316</v>
      </c>
      <c r="Z9" s="205">
        <v>893</v>
      </c>
      <c r="AA9" s="205">
        <f>961-346</f>
        <v>615</v>
      </c>
      <c r="AB9" s="205">
        <v>475</v>
      </c>
      <c r="AC9" s="205">
        <v>1435</v>
      </c>
      <c r="AD9" s="205">
        <v>1005</v>
      </c>
      <c r="AE9" s="205">
        <v>565</v>
      </c>
      <c r="AF9" s="205">
        <v>351</v>
      </c>
      <c r="AG9" s="205">
        <v>89</v>
      </c>
      <c r="AH9" s="205">
        <v>527</v>
      </c>
      <c r="AI9" s="205"/>
      <c r="AJ9" s="205">
        <v>63</v>
      </c>
      <c r="AK9" s="205">
        <v>216</v>
      </c>
      <c r="AL9" s="205">
        <v>25</v>
      </c>
      <c r="AM9" s="205">
        <v>95</v>
      </c>
      <c r="AN9" s="205">
        <v>213</v>
      </c>
      <c r="AO9" s="205">
        <f>306-9</f>
        <v>297</v>
      </c>
      <c r="AP9" s="205">
        <v>170</v>
      </c>
      <c r="AQ9" s="205">
        <v>115</v>
      </c>
      <c r="AR9" s="205">
        <v>47</v>
      </c>
      <c r="AS9" s="205">
        <v>3</v>
      </c>
      <c r="AT9" s="205">
        <v>123</v>
      </c>
      <c r="AU9" s="205">
        <v>14</v>
      </c>
      <c r="AV9" s="205">
        <f>423-109</f>
        <v>314</v>
      </c>
      <c r="AW9" s="205">
        <v>109</v>
      </c>
      <c r="AX9" s="205">
        <f>315-44</f>
        <v>271</v>
      </c>
      <c r="AY9" s="205">
        <v>256</v>
      </c>
      <c r="AZ9" s="205">
        <v>91</v>
      </c>
      <c r="BA9" s="205">
        <f>187-58</f>
        <v>129</v>
      </c>
      <c r="BB9" s="205">
        <v>44</v>
      </c>
      <c r="BC9" s="205">
        <f>147-49</f>
        <v>98</v>
      </c>
      <c r="BD9" s="205">
        <v>12</v>
      </c>
      <c r="BE9" s="205">
        <f>85-18</f>
        <v>67</v>
      </c>
      <c r="BF9" s="205">
        <v>183</v>
      </c>
      <c r="BG9" s="205">
        <v>24</v>
      </c>
      <c r="BH9" s="205">
        <v>22</v>
      </c>
      <c r="BI9" s="205">
        <v>0</v>
      </c>
      <c r="BJ9" s="205">
        <v>0</v>
      </c>
      <c r="BK9" s="205">
        <v>30</v>
      </c>
      <c r="BL9" s="205">
        <v>0</v>
      </c>
      <c r="BM9" s="205"/>
      <c r="BN9" s="205">
        <f>SUM(C9:BM9)</f>
        <v>38212</v>
      </c>
      <c r="BO9" s="43">
        <f>+D9+E9+F9+G9+H9+AA9+AL9+AN9+AR9+AS9+AU9+AW9+AZ9+BA9+BD9+BG9+BH9+BI9+BK9</f>
        <v>6857</v>
      </c>
      <c r="BP9" s="43">
        <f>+C9+I9+J9+K9+L9+M9+N9+O9+P9+Q9+R9+S9+T9+U9+V9+W9+X9+Y9+Z9+AB9+AC9+AD9+AE9+AF9+AG9+AH9+AI9+AJ9+AK9+AM9+AO9+AP9+AQ9+AT9+AV9+AX9+AY9+BB9+BC9+BE9+BF9+BJ9+BL9</f>
        <v>31355</v>
      </c>
      <c r="BQ9" s="43"/>
      <c r="BR9" s="43"/>
      <c r="BS9" s="43"/>
      <c r="BT9" s="43"/>
      <c r="BU9" s="43"/>
      <c r="BV9" s="43"/>
      <c r="BW9" s="43"/>
      <c r="BX9" s="43"/>
      <c r="BY9" s="43"/>
    </row>
    <row r="10" spans="1:77" s="206" customFormat="1" ht="12.75">
      <c r="A10" s="198"/>
      <c r="B10" s="198" t="s">
        <v>435</v>
      </c>
      <c r="C10" s="205">
        <v>1346</v>
      </c>
      <c r="D10" s="205">
        <f>674-42</f>
        <v>632</v>
      </c>
      <c r="E10" s="205">
        <f>251-28</f>
        <v>223</v>
      </c>
      <c r="F10" s="205">
        <v>0</v>
      </c>
      <c r="G10" s="205">
        <v>0</v>
      </c>
      <c r="H10" s="205">
        <v>18</v>
      </c>
      <c r="I10" s="205">
        <v>1288</v>
      </c>
      <c r="J10" s="205">
        <v>1268</v>
      </c>
      <c r="K10" s="205">
        <v>784</v>
      </c>
      <c r="L10" s="205">
        <v>0</v>
      </c>
      <c r="M10" s="205">
        <v>1211</v>
      </c>
      <c r="N10" s="205">
        <v>302</v>
      </c>
      <c r="O10" s="205">
        <v>919</v>
      </c>
      <c r="P10" s="205">
        <v>426</v>
      </c>
      <c r="Q10" s="205">
        <v>937</v>
      </c>
      <c r="R10" s="205">
        <v>793</v>
      </c>
      <c r="S10" s="205">
        <v>872</v>
      </c>
      <c r="T10" s="205">
        <v>531</v>
      </c>
      <c r="U10" s="205">
        <v>363</v>
      </c>
      <c r="V10" s="205">
        <v>374</v>
      </c>
      <c r="W10" s="205">
        <f>672-362</f>
        <v>310</v>
      </c>
      <c r="X10" s="205">
        <f>639-338</f>
        <v>301</v>
      </c>
      <c r="Y10" s="205">
        <v>4</v>
      </c>
      <c r="Z10" s="205">
        <v>585</v>
      </c>
      <c r="AA10" s="205">
        <f>148-5</f>
        <v>143</v>
      </c>
      <c r="AB10" s="205">
        <v>179</v>
      </c>
      <c r="AC10" s="205">
        <v>120</v>
      </c>
      <c r="AD10" s="205">
        <v>265</v>
      </c>
      <c r="AE10" s="205">
        <v>691</v>
      </c>
      <c r="AF10" s="205">
        <v>306</v>
      </c>
      <c r="AG10" s="205">
        <v>276</v>
      </c>
      <c r="AH10" s="205">
        <v>927</v>
      </c>
      <c r="AI10" s="205"/>
      <c r="AJ10" s="205">
        <v>124</v>
      </c>
      <c r="AK10" s="205">
        <v>111</v>
      </c>
      <c r="AL10" s="205">
        <v>66</v>
      </c>
      <c r="AM10" s="205">
        <v>170</v>
      </c>
      <c r="AN10" s="205">
        <v>130</v>
      </c>
      <c r="AO10" s="205">
        <f>185-53</f>
        <v>132</v>
      </c>
      <c r="AP10" s="205">
        <v>40</v>
      </c>
      <c r="AQ10" s="205">
        <v>49</v>
      </c>
      <c r="AR10" s="205">
        <v>161</v>
      </c>
      <c r="AS10" s="205">
        <v>1</v>
      </c>
      <c r="AT10" s="205">
        <v>36</v>
      </c>
      <c r="AU10" s="205">
        <v>0</v>
      </c>
      <c r="AV10" s="205">
        <f>222-29</f>
        <v>193</v>
      </c>
      <c r="AW10" s="205">
        <f>117-45</f>
        <v>72</v>
      </c>
      <c r="AX10" s="205">
        <f>119-18</f>
        <v>101</v>
      </c>
      <c r="AY10" s="205">
        <v>7</v>
      </c>
      <c r="AZ10" s="205">
        <v>37</v>
      </c>
      <c r="BA10" s="205">
        <v>1</v>
      </c>
      <c r="BB10" s="205">
        <v>21</v>
      </c>
      <c r="BC10" s="205">
        <v>0</v>
      </c>
      <c r="BD10" s="205">
        <v>4</v>
      </c>
      <c r="BE10" s="205">
        <v>0</v>
      </c>
      <c r="BF10" s="205">
        <v>0</v>
      </c>
      <c r="BG10" s="205">
        <v>11</v>
      </c>
      <c r="BH10" s="205">
        <v>0.1</v>
      </c>
      <c r="BI10" s="205">
        <v>0</v>
      </c>
      <c r="BJ10" s="205">
        <v>0</v>
      </c>
      <c r="BK10" s="205">
        <v>0</v>
      </c>
      <c r="BL10" s="205">
        <v>0</v>
      </c>
      <c r="BM10" s="205"/>
      <c r="BN10" s="205">
        <f>SUM(C10:BM10)</f>
        <v>17861.1</v>
      </c>
      <c r="BO10" s="43">
        <f>+D10+E10+F10+G10+H10+AA10+AL10+AN10+AR10+AS10+AU10+AW10+AZ10+BA10+BD10+BG10+BH10+BI10+BK10</f>
        <v>1499.1</v>
      </c>
      <c r="BP10" s="43">
        <f>+C10+I10+J10+K10+L10+M10+N10+O10+P10+Q10+R10+S10+T10+U10+V10+W10+X10+Y10+Z10+AB10+AC10+AD10+AE10+AF10+AG10+AH10+AI10+AJ10+AK10+AM10+AO10+AP10+AQ10+AT10+AV10+AX10+AY10+BB10+BC10+BE10+BF10+BJ10+BL10</f>
        <v>16362</v>
      </c>
      <c r="BQ10" s="43"/>
      <c r="BR10" s="43"/>
      <c r="BS10" s="43"/>
      <c r="BT10" s="43"/>
      <c r="BU10" s="43"/>
      <c r="BV10" s="43"/>
      <c r="BW10" s="43"/>
      <c r="BX10" s="43"/>
      <c r="BY10" s="43"/>
    </row>
    <row r="11" spans="1:77" s="206" customFormat="1" ht="12.75">
      <c r="A11" s="198"/>
      <c r="B11" s="140" t="s">
        <v>474</v>
      </c>
      <c r="C11" s="205">
        <f>SUM(C7:C10)</f>
        <v>32339</v>
      </c>
      <c r="D11" s="205">
        <f aca="true" t="shared" si="0" ref="D11:BL11">SUM(D7:D10)</f>
        <v>36987</v>
      </c>
      <c r="E11" s="205">
        <f t="shared" si="0"/>
        <v>4241</v>
      </c>
      <c r="F11" s="205">
        <f t="shared" si="0"/>
        <v>0</v>
      </c>
      <c r="G11" s="205">
        <f t="shared" si="0"/>
        <v>0</v>
      </c>
      <c r="H11" s="205">
        <f t="shared" si="0"/>
        <v>208</v>
      </c>
      <c r="I11" s="205">
        <f t="shared" si="0"/>
        <v>17579</v>
      </c>
      <c r="J11" s="205">
        <f t="shared" si="0"/>
        <v>15732</v>
      </c>
      <c r="K11" s="205">
        <f t="shared" si="0"/>
        <v>21933</v>
      </c>
      <c r="L11" s="205">
        <f t="shared" si="0"/>
        <v>3</v>
      </c>
      <c r="M11" s="205">
        <f t="shared" si="0"/>
        <v>9491</v>
      </c>
      <c r="N11" s="205">
        <f t="shared" si="0"/>
        <v>13413</v>
      </c>
      <c r="O11" s="205">
        <f t="shared" si="0"/>
        <v>9238</v>
      </c>
      <c r="P11" s="205">
        <f t="shared" si="0"/>
        <v>5304</v>
      </c>
      <c r="Q11" s="205">
        <f t="shared" si="0"/>
        <v>5486</v>
      </c>
      <c r="R11" s="205">
        <f t="shared" si="0"/>
        <v>3714</v>
      </c>
      <c r="S11" s="205">
        <f t="shared" si="0"/>
        <v>5110</v>
      </c>
      <c r="T11" s="205">
        <f t="shared" si="0"/>
        <v>4369</v>
      </c>
      <c r="U11" s="205">
        <f t="shared" si="0"/>
        <v>5098</v>
      </c>
      <c r="V11" s="205">
        <f t="shared" si="0"/>
        <v>5272</v>
      </c>
      <c r="W11" s="205">
        <f t="shared" si="0"/>
        <v>861</v>
      </c>
      <c r="X11" s="205">
        <f t="shared" si="0"/>
        <v>4537</v>
      </c>
      <c r="Y11" s="205">
        <f t="shared" si="0"/>
        <v>4627.371</v>
      </c>
      <c r="Z11" s="205">
        <f t="shared" si="0"/>
        <v>4223</v>
      </c>
      <c r="AA11" s="205">
        <f t="shared" si="0"/>
        <v>3951</v>
      </c>
      <c r="AB11" s="205">
        <f t="shared" si="0"/>
        <v>2987</v>
      </c>
      <c r="AC11" s="205">
        <f t="shared" si="0"/>
        <v>4639</v>
      </c>
      <c r="AD11" s="205">
        <f t="shared" si="0"/>
        <v>3473</v>
      </c>
      <c r="AE11" s="205">
        <f t="shared" si="0"/>
        <v>2413</v>
      </c>
      <c r="AF11" s="205">
        <f t="shared" si="0"/>
        <v>2062</v>
      </c>
      <c r="AG11" s="205">
        <f t="shared" si="0"/>
        <v>1694</v>
      </c>
      <c r="AH11" s="205">
        <f t="shared" si="0"/>
        <v>2801</v>
      </c>
      <c r="AI11" s="205"/>
      <c r="AJ11" s="205">
        <f t="shared" si="0"/>
        <v>508</v>
      </c>
      <c r="AK11" s="205">
        <f t="shared" si="0"/>
        <v>1526</v>
      </c>
      <c r="AL11" s="205">
        <f t="shared" si="0"/>
        <v>103</v>
      </c>
      <c r="AM11" s="205">
        <f t="shared" si="0"/>
        <v>1108</v>
      </c>
      <c r="AN11" s="205">
        <f t="shared" si="0"/>
        <v>1374</v>
      </c>
      <c r="AO11" s="205">
        <f t="shared" si="0"/>
        <v>1620</v>
      </c>
      <c r="AP11" s="205">
        <f t="shared" si="0"/>
        <v>852</v>
      </c>
      <c r="AQ11" s="205">
        <f t="shared" si="0"/>
        <v>185</v>
      </c>
      <c r="AR11" s="205">
        <f t="shared" si="0"/>
        <v>543</v>
      </c>
      <c r="AS11" s="205">
        <f t="shared" si="0"/>
        <v>10</v>
      </c>
      <c r="AT11" s="205">
        <f t="shared" si="0"/>
        <v>848</v>
      </c>
      <c r="AU11" s="205">
        <f t="shared" si="0"/>
        <v>302</v>
      </c>
      <c r="AV11" s="205">
        <f t="shared" si="0"/>
        <v>696</v>
      </c>
      <c r="AW11" s="205">
        <f t="shared" si="0"/>
        <v>550</v>
      </c>
      <c r="AX11" s="205">
        <f t="shared" si="0"/>
        <v>984</v>
      </c>
      <c r="AY11" s="205">
        <f t="shared" si="0"/>
        <v>723</v>
      </c>
      <c r="AZ11" s="205">
        <f t="shared" si="0"/>
        <v>543</v>
      </c>
      <c r="BA11" s="205">
        <f t="shared" si="0"/>
        <v>516</v>
      </c>
      <c r="BB11" s="205">
        <f t="shared" si="0"/>
        <v>221</v>
      </c>
      <c r="BC11" s="205">
        <f t="shared" si="0"/>
        <v>470</v>
      </c>
      <c r="BD11" s="205">
        <f t="shared" si="0"/>
        <v>160</v>
      </c>
      <c r="BE11" s="205">
        <f t="shared" si="0"/>
        <v>384</v>
      </c>
      <c r="BF11" s="205">
        <f t="shared" si="0"/>
        <v>369</v>
      </c>
      <c r="BG11" s="205">
        <f t="shared" si="0"/>
        <v>111</v>
      </c>
      <c r="BH11" s="205">
        <f t="shared" si="0"/>
        <v>83.1</v>
      </c>
      <c r="BI11" s="205">
        <f t="shared" si="0"/>
        <v>19</v>
      </c>
      <c r="BJ11" s="205">
        <f t="shared" si="0"/>
        <v>8</v>
      </c>
      <c r="BK11" s="205">
        <f t="shared" si="0"/>
        <v>37</v>
      </c>
      <c r="BL11" s="205">
        <f t="shared" si="0"/>
        <v>8</v>
      </c>
      <c r="BM11" s="205"/>
      <c r="BN11" s="205">
        <f>SUM(C11:BM11)</f>
        <v>248646.47100000002</v>
      </c>
      <c r="BO11" s="43">
        <f>+D11+E11+F11+G11+H11+AA11+AL11+AN11+AR11+AS11+AU11+AW11+AZ11+BA11+BD11+BG11+BH11+BI11+BK11</f>
        <v>49738.1</v>
      </c>
      <c r="BP11" s="43">
        <f>+C11+I11+J11+K11+L11+M11+N11+O11+P11+Q11+R11+S11+T11+U11+V11+W11+X11+Y11+Z11+AB11+AC11+AD11+AE11+AF11+AG11+AH11+AI11+AJ11+AK11+AM11+AO11+AP11+AQ11+AT11+AV11+AX11+AY11+BB11+BC11+BE11+BF11+BJ11+BL11</f>
        <v>198908.371</v>
      </c>
      <c r="BQ11" s="43"/>
      <c r="BR11" s="43"/>
      <c r="BS11" s="43"/>
      <c r="BT11" s="43"/>
      <c r="BU11" s="43"/>
      <c r="BV11" s="43"/>
      <c r="BW11" s="43"/>
      <c r="BX11" s="43"/>
      <c r="BY11" s="43"/>
    </row>
    <row r="12" spans="1:77" s="206" customFormat="1" ht="9.75" customHeight="1">
      <c r="A12" s="198"/>
      <c r="B12" s="198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</row>
    <row r="13" spans="1:77" s="208" customFormat="1" ht="15" customHeight="1">
      <c r="A13" s="141" t="s">
        <v>272</v>
      </c>
      <c r="B13" s="198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7"/>
      <c r="BN13" s="205"/>
      <c r="BO13" s="43"/>
      <c r="BP13" s="43"/>
      <c r="BQ13" s="207"/>
      <c r="BR13" s="207"/>
      <c r="BS13" s="207"/>
      <c r="BT13" s="207"/>
      <c r="BU13" s="207"/>
      <c r="BV13" s="207"/>
      <c r="BW13" s="207"/>
      <c r="BX13" s="207"/>
      <c r="BY13" s="207"/>
    </row>
    <row r="14" spans="1:77" s="206" customFormat="1" ht="12.75">
      <c r="A14" s="198"/>
      <c r="B14" s="198" t="s">
        <v>434</v>
      </c>
      <c r="C14" s="205">
        <v>983</v>
      </c>
      <c r="D14" s="205">
        <v>23</v>
      </c>
      <c r="E14" s="205">
        <v>0</v>
      </c>
      <c r="F14" s="205">
        <v>0</v>
      </c>
      <c r="G14" s="205">
        <v>0</v>
      </c>
      <c r="H14" s="205">
        <v>0</v>
      </c>
      <c r="I14" s="205">
        <v>2113</v>
      </c>
      <c r="J14" s="205">
        <v>523</v>
      </c>
      <c r="K14" s="205">
        <v>984</v>
      </c>
      <c r="L14" s="205">
        <v>0</v>
      </c>
      <c r="M14" s="205">
        <v>47</v>
      </c>
      <c r="N14" s="205">
        <v>115</v>
      </c>
      <c r="O14" s="205">
        <v>53</v>
      </c>
      <c r="P14" s="205">
        <v>130</v>
      </c>
      <c r="Q14" s="205">
        <v>23</v>
      </c>
      <c r="R14" s="205">
        <v>0</v>
      </c>
      <c r="S14" s="205">
        <v>0</v>
      </c>
      <c r="T14" s="205">
        <v>84</v>
      </c>
      <c r="U14" s="205">
        <v>1762</v>
      </c>
      <c r="V14" s="205">
        <v>0</v>
      </c>
      <c r="W14" s="205">
        <v>0</v>
      </c>
      <c r="X14" s="205">
        <v>59</v>
      </c>
      <c r="Y14" s="205">
        <v>0</v>
      </c>
      <c r="Z14" s="205">
        <v>70</v>
      </c>
      <c r="AA14" s="205">
        <v>22</v>
      </c>
      <c r="AB14" s="205">
        <v>31</v>
      </c>
      <c r="AC14" s="205">
        <v>43</v>
      </c>
      <c r="AD14" s="205">
        <v>0</v>
      </c>
      <c r="AE14" s="205">
        <v>1623</v>
      </c>
      <c r="AF14" s="205">
        <v>93</v>
      </c>
      <c r="AG14" s="205">
        <v>8</v>
      </c>
      <c r="AH14" s="205">
        <v>0</v>
      </c>
      <c r="AI14" s="205"/>
      <c r="AJ14" s="205">
        <v>0</v>
      </c>
      <c r="AK14" s="205">
        <v>0</v>
      </c>
      <c r="AL14" s="205">
        <v>574</v>
      </c>
      <c r="AM14" s="205">
        <v>304</v>
      </c>
      <c r="AN14" s="205">
        <v>0</v>
      </c>
      <c r="AO14" s="205">
        <v>3</v>
      </c>
      <c r="AP14" s="205">
        <v>0</v>
      </c>
      <c r="AQ14" s="205">
        <v>129</v>
      </c>
      <c r="AR14" s="205">
        <v>0</v>
      </c>
      <c r="AS14" s="205">
        <v>0</v>
      </c>
      <c r="AT14" s="205">
        <v>0</v>
      </c>
      <c r="AU14" s="205">
        <v>18</v>
      </c>
      <c r="AV14" s="205">
        <v>0</v>
      </c>
      <c r="AW14" s="205">
        <v>0</v>
      </c>
      <c r="AX14" s="205">
        <v>8</v>
      </c>
      <c r="AY14" s="205">
        <v>4</v>
      </c>
      <c r="AZ14" s="205">
        <v>4</v>
      </c>
      <c r="BA14" s="205">
        <v>26</v>
      </c>
      <c r="BB14" s="205">
        <v>0</v>
      </c>
      <c r="BC14" s="205">
        <v>25</v>
      </c>
      <c r="BD14" s="205">
        <v>0</v>
      </c>
      <c r="BE14" s="205">
        <v>1</v>
      </c>
      <c r="BF14" s="205">
        <v>0</v>
      </c>
      <c r="BG14" s="205">
        <v>0</v>
      </c>
      <c r="BH14" s="205">
        <v>0</v>
      </c>
      <c r="BI14" s="205">
        <v>0</v>
      </c>
      <c r="BJ14" s="205">
        <v>0</v>
      </c>
      <c r="BK14" s="205">
        <v>0</v>
      </c>
      <c r="BL14" s="205">
        <v>0</v>
      </c>
      <c r="BM14" s="205"/>
      <c r="BN14" s="205">
        <f aca="true" t="shared" si="1" ref="BN14:BN19">SUM(C14:BM14)</f>
        <v>9885</v>
      </c>
      <c r="BO14" s="43">
        <f aca="true" t="shared" si="2" ref="BO14:BO19">+D14+E14+F14+G14+H14+AA14+AL14+AN14+AR14+AS14+AU14+AW14+AZ14+BA14+BD14+BG14+BH14+BI14+BK14</f>
        <v>667</v>
      </c>
      <c r="BP14" s="43">
        <f aca="true" t="shared" si="3" ref="BP14:BP19">+C14+I14+J14+K14+L14+M14+N14+O14+P14+Q14+R14+S14+T14+U14+V14+W14+X14+Y14+Z14+AB14+AC14+AD14+AE14+AF14+AG14+AH14+AI14+AJ14+AK14+AM14+AO14+AP14+AQ14+AT14+AV14+AX14+AY14+BB14+BC14+BE14+BF14+BJ14+BL14</f>
        <v>9218</v>
      </c>
      <c r="BQ14" s="43"/>
      <c r="BR14" s="43"/>
      <c r="BS14" s="43"/>
      <c r="BT14" s="43"/>
      <c r="BU14" s="43"/>
      <c r="BV14" s="43"/>
      <c r="BW14" s="43"/>
      <c r="BX14" s="43"/>
      <c r="BY14" s="43"/>
    </row>
    <row r="15" spans="1:77" s="206" customFormat="1" ht="12.75">
      <c r="A15" s="198"/>
      <c r="B15" s="198" t="s">
        <v>456</v>
      </c>
      <c r="C15" s="205">
        <v>814</v>
      </c>
      <c r="D15" s="205">
        <v>574</v>
      </c>
      <c r="E15" s="205">
        <v>376</v>
      </c>
      <c r="F15" s="205">
        <v>0</v>
      </c>
      <c r="G15" s="205">
        <v>0</v>
      </c>
      <c r="H15" s="205">
        <v>0</v>
      </c>
      <c r="I15" s="205">
        <v>1633</v>
      </c>
      <c r="J15" s="205">
        <v>1150</v>
      </c>
      <c r="K15" s="205">
        <v>756</v>
      </c>
      <c r="L15" s="205">
        <v>0</v>
      </c>
      <c r="M15" s="205">
        <v>114</v>
      </c>
      <c r="N15" s="205">
        <v>263</v>
      </c>
      <c r="O15" s="205">
        <v>9</v>
      </c>
      <c r="P15" s="205">
        <v>126</v>
      </c>
      <c r="Q15" s="205">
        <v>113</v>
      </c>
      <c r="R15" s="205">
        <v>221</v>
      </c>
      <c r="S15" s="205">
        <v>643</v>
      </c>
      <c r="T15" s="205">
        <v>336</v>
      </c>
      <c r="U15" s="205">
        <v>2</v>
      </c>
      <c r="V15" s="205">
        <v>0</v>
      </c>
      <c r="W15" s="205">
        <v>149</v>
      </c>
      <c r="X15" s="205">
        <v>281</v>
      </c>
      <c r="Y15" s="205">
        <v>0</v>
      </c>
      <c r="Z15" s="205">
        <v>106</v>
      </c>
      <c r="AA15" s="205">
        <v>224</v>
      </c>
      <c r="AB15" s="205">
        <v>330</v>
      </c>
      <c r="AC15" s="205">
        <v>98</v>
      </c>
      <c r="AD15" s="205">
        <v>220</v>
      </c>
      <c r="AE15" s="205">
        <v>271</v>
      </c>
      <c r="AF15" s="205">
        <v>169</v>
      </c>
      <c r="AG15" s="205">
        <v>56</v>
      </c>
      <c r="AH15" s="205">
        <v>0</v>
      </c>
      <c r="AI15" s="205"/>
      <c r="AJ15" s="205">
        <v>0</v>
      </c>
      <c r="AK15" s="205">
        <v>33</v>
      </c>
      <c r="AL15" s="205">
        <v>0</v>
      </c>
      <c r="AM15" s="205">
        <v>83</v>
      </c>
      <c r="AN15" s="205">
        <v>88</v>
      </c>
      <c r="AO15" s="205">
        <v>26</v>
      </c>
      <c r="AP15" s="205">
        <v>66</v>
      </c>
      <c r="AQ15" s="205">
        <v>0</v>
      </c>
      <c r="AR15" s="205">
        <v>0</v>
      </c>
      <c r="AS15" s="205">
        <v>0</v>
      </c>
      <c r="AT15" s="205">
        <v>36</v>
      </c>
      <c r="AU15" s="205">
        <v>73</v>
      </c>
      <c r="AV15" s="205">
        <v>0</v>
      </c>
      <c r="AW15" s="205">
        <v>19</v>
      </c>
      <c r="AX15" s="205">
        <v>5</v>
      </c>
      <c r="AY15" s="205">
        <v>11</v>
      </c>
      <c r="AZ15" s="205">
        <v>125</v>
      </c>
      <c r="BA15" s="205">
        <v>0</v>
      </c>
      <c r="BB15" s="205">
        <v>114</v>
      </c>
      <c r="BC15" s="205">
        <v>9</v>
      </c>
      <c r="BD15" s="205">
        <v>8</v>
      </c>
      <c r="BE15" s="205">
        <v>3</v>
      </c>
      <c r="BF15" s="205">
        <v>0</v>
      </c>
      <c r="BG15" s="205">
        <v>114</v>
      </c>
      <c r="BH15" s="205">
        <v>4</v>
      </c>
      <c r="BI15" s="205">
        <v>0</v>
      </c>
      <c r="BJ15" s="205">
        <v>0</v>
      </c>
      <c r="BK15" s="205">
        <v>0</v>
      </c>
      <c r="BL15" s="205">
        <v>0</v>
      </c>
      <c r="BM15" s="205"/>
      <c r="BN15" s="205">
        <f t="shared" si="1"/>
        <v>9851</v>
      </c>
      <c r="BO15" s="43">
        <f t="shared" si="2"/>
        <v>1605</v>
      </c>
      <c r="BP15" s="43">
        <f t="shared" si="3"/>
        <v>8246</v>
      </c>
      <c r="BQ15" s="43"/>
      <c r="BR15" s="43"/>
      <c r="BS15" s="43"/>
      <c r="BT15" s="43"/>
      <c r="BU15" s="43"/>
      <c r="BV15" s="43"/>
      <c r="BW15" s="43"/>
      <c r="BX15" s="43"/>
      <c r="BY15" s="43"/>
    </row>
    <row r="16" spans="1:77" s="206" customFormat="1" ht="12.75">
      <c r="A16" s="198"/>
      <c r="B16" s="198" t="s">
        <v>457</v>
      </c>
      <c r="C16" s="205">
        <v>6617</v>
      </c>
      <c r="D16" s="205">
        <v>1319</v>
      </c>
      <c r="E16" s="205">
        <v>132</v>
      </c>
      <c r="F16" s="205">
        <v>0</v>
      </c>
      <c r="G16" s="205">
        <v>0</v>
      </c>
      <c r="H16" s="205">
        <v>0</v>
      </c>
      <c r="I16" s="205">
        <v>799</v>
      </c>
      <c r="J16" s="205">
        <v>971</v>
      </c>
      <c r="K16" s="205">
        <v>2075</v>
      </c>
      <c r="L16" s="205">
        <v>0</v>
      </c>
      <c r="M16" s="205">
        <v>177</v>
      </c>
      <c r="N16" s="205">
        <v>0</v>
      </c>
      <c r="O16" s="205">
        <v>2072</v>
      </c>
      <c r="P16" s="205">
        <v>252</v>
      </c>
      <c r="Q16" s="205">
        <v>57</v>
      </c>
      <c r="R16" s="205">
        <v>801</v>
      </c>
      <c r="S16" s="205">
        <v>665</v>
      </c>
      <c r="T16" s="205">
        <v>221</v>
      </c>
      <c r="U16" s="205">
        <v>17</v>
      </c>
      <c r="V16" s="205">
        <v>0</v>
      </c>
      <c r="W16" s="205">
        <v>250</v>
      </c>
      <c r="X16" s="205">
        <v>423</v>
      </c>
      <c r="Y16" s="205">
        <v>0</v>
      </c>
      <c r="Z16" s="205">
        <v>205</v>
      </c>
      <c r="AA16" s="205">
        <v>346</v>
      </c>
      <c r="AB16" s="205">
        <v>827</v>
      </c>
      <c r="AC16" s="205">
        <v>26</v>
      </c>
      <c r="AD16" s="205">
        <v>217</v>
      </c>
      <c r="AE16" s="205">
        <v>0</v>
      </c>
      <c r="AF16" s="205">
        <v>83</v>
      </c>
      <c r="AG16" s="205">
        <v>94</v>
      </c>
      <c r="AH16" s="205">
        <v>0</v>
      </c>
      <c r="AI16" s="205"/>
      <c r="AJ16" s="205">
        <v>116</v>
      </c>
      <c r="AK16" s="205">
        <v>0</v>
      </c>
      <c r="AL16" s="205">
        <v>24</v>
      </c>
      <c r="AM16" s="205">
        <v>114</v>
      </c>
      <c r="AN16" s="205">
        <v>20</v>
      </c>
      <c r="AO16" s="205">
        <v>9</v>
      </c>
      <c r="AP16" s="205">
        <v>276</v>
      </c>
      <c r="AQ16" s="205">
        <v>1068</v>
      </c>
      <c r="AR16" s="205">
        <v>24</v>
      </c>
      <c r="AS16" s="205">
        <v>0</v>
      </c>
      <c r="AT16" s="205">
        <v>161</v>
      </c>
      <c r="AU16" s="205">
        <v>11</v>
      </c>
      <c r="AV16" s="205">
        <v>109</v>
      </c>
      <c r="AW16" s="205">
        <v>0</v>
      </c>
      <c r="AX16" s="205">
        <v>44</v>
      </c>
      <c r="AY16" s="205">
        <v>13</v>
      </c>
      <c r="AZ16" s="205">
        <v>15</v>
      </c>
      <c r="BA16" s="205">
        <v>58</v>
      </c>
      <c r="BB16" s="205">
        <v>60</v>
      </c>
      <c r="BC16" s="205">
        <v>49</v>
      </c>
      <c r="BD16" s="205">
        <v>82</v>
      </c>
      <c r="BE16" s="205">
        <v>18</v>
      </c>
      <c r="BF16" s="205">
        <v>0</v>
      </c>
      <c r="BG16" s="205">
        <v>0</v>
      </c>
      <c r="BH16" s="205">
        <v>0</v>
      </c>
      <c r="BI16" s="205">
        <v>0</v>
      </c>
      <c r="BJ16" s="205">
        <v>0</v>
      </c>
      <c r="BK16" s="205">
        <v>0</v>
      </c>
      <c r="BL16" s="205">
        <v>0</v>
      </c>
      <c r="BM16" s="205"/>
      <c r="BN16" s="205">
        <f t="shared" si="1"/>
        <v>20917</v>
      </c>
      <c r="BO16" s="43">
        <f t="shared" si="2"/>
        <v>2031</v>
      </c>
      <c r="BP16" s="43">
        <f t="shared" si="3"/>
        <v>18886</v>
      </c>
      <c r="BQ16" s="43"/>
      <c r="BR16" s="43"/>
      <c r="BS16" s="43"/>
      <c r="BT16" s="43"/>
      <c r="BU16" s="43"/>
      <c r="BV16" s="43"/>
      <c r="BW16" s="43"/>
      <c r="BX16" s="43"/>
      <c r="BY16" s="43"/>
    </row>
    <row r="17" spans="1:77" s="206" customFormat="1" ht="12.75">
      <c r="A17" s="198"/>
      <c r="B17" s="198" t="s">
        <v>435</v>
      </c>
      <c r="C17" s="205">
        <v>1398</v>
      </c>
      <c r="D17" s="205">
        <v>42</v>
      </c>
      <c r="E17" s="205">
        <v>28</v>
      </c>
      <c r="F17" s="205">
        <v>0</v>
      </c>
      <c r="G17" s="205">
        <v>0</v>
      </c>
      <c r="H17" s="205">
        <v>0</v>
      </c>
      <c r="I17" s="205">
        <v>718</v>
      </c>
      <c r="J17" s="205">
        <v>160</v>
      </c>
      <c r="K17" s="205">
        <v>186</v>
      </c>
      <c r="L17" s="205">
        <v>0</v>
      </c>
      <c r="M17" s="205">
        <v>869</v>
      </c>
      <c r="N17" s="205">
        <v>142</v>
      </c>
      <c r="O17" s="205">
        <v>43</v>
      </c>
      <c r="P17" s="205">
        <v>196</v>
      </c>
      <c r="Q17" s="205">
        <v>865</v>
      </c>
      <c r="R17" s="205">
        <v>2038</v>
      </c>
      <c r="S17" s="205">
        <v>0</v>
      </c>
      <c r="T17" s="205">
        <v>100</v>
      </c>
      <c r="U17" s="205">
        <v>24</v>
      </c>
      <c r="V17" s="205">
        <v>54</v>
      </c>
      <c r="W17" s="205">
        <v>362</v>
      </c>
      <c r="X17" s="205">
        <v>338</v>
      </c>
      <c r="Y17" s="205">
        <v>330</v>
      </c>
      <c r="Z17" s="205">
        <v>276</v>
      </c>
      <c r="AA17" s="205">
        <v>5</v>
      </c>
      <c r="AB17" s="205">
        <v>297</v>
      </c>
      <c r="AC17" s="205">
        <v>45</v>
      </c>
      <c r="AD17" s="205">
        <v>150</v>
      </c>
      <c r="AE17" s="205">
        <v>79</v>
      </c>
      <c r="AF17" s="205">
        <v>133</v>
      </c>
      <c r="AG17" s="205">
        <v>121</v>
      </c>
      <c r="AH17" s="205">
        <v>0</v>
      </c>
      <c r="AI17" s="205"/>
      <c r="AJ17" s="205">
        <v>243</v>
      </c>
      <c r="AK17" s="205">
        <v>0</v>
      </c>
      <c r="AL17" s="205">
        <v>198</v>
      </c>
      <c r="AM17" s="205">
        <v>106</v>
      </c>
      <c r="AN17" s="205">
        <v>35</v>
      </c>
      <c r="AO17" s="205">
        <v>53</v>
      </c>
      <c r="AP17" s="205">
        <v>53</v>
      </c>
      <c r="AQ17" s="205">
        <v>0</v>
      </c>
      <c r="AR17" s="205">
        <v>0</v>
      </c>
      <c r="AS17" s="205">
        <v>0</v>
      </c>
      <c r="AT17" s="205">
        <v>6</v>
      </c>
      <c r="AU17" s="205">
        <v>78</v>
      </c>
      <c r="AV17" s="205">
        <v>29</v>
      </c>
      <c r="AW17" s="205">
        <v>45</v>
      </c>
      <c r="AX17" s="205">
        <v>18</v>
      </c>
      <c r="AY17" s="205">
        <v>15</v>
      </c>
      <c r="AZ17" s="205">
        <v>13</v>
      </c>
      <c r="BA17" s="205">
        <v>72</v>
      </c>
      <c r="BB17" s="205">
        <v>35</v>
      </c>
      <c r="BC17" s="205">
        <v>7</v>
      </c>
      <c r="BD17" s="205">
        <v>0</v>
      </c>
      <c r="BE17" s="205">
        <v>3</v>
      </c>
      <c r="BF17" s="205">
        <v>0</v>
      </c>
      <c r="BG17" s="205">
        <v>0</v>
      </c>
      <c r="BH17" s="205">
        <v>0</v>
      </c>
      <c r="BI17" s="205">
        <v>0</v>
      </c>
      <c r="BJ17" s="205">
        <v>0</v>
      </c>
      <c r="BK17" s="205">
        <v>0</v>
      </c>
      <c r="BL17" s="205">
        <v>0</v>
      </c>
      <c r="BM17" s="205"/>
      <c r="BN17" s="205">
        <f t="shared" si="1"/>
        <v>10008</v>
      </c>
      <c r="BO17" s="43">
        <f t="shared" si="2"/>
        <v>516</v>
      </c>
      <c r="BP17" s="43">
        <f t="shared" si="3"/>
        <v>9492</v>
      </c>
      <c r="BQ17" s="43"/>
      <c r="BR17" s="43"/>
      <c r="BS17" s="43"/>
      <c r="BT17" s="43"/>
      <c r="BU17" s="43"/>
      <c r="BV17" s="43"/>
      <c r="BW17" s="43"/>
      <c r="BX17" s="43"/>
      <c r="BY17" s="43"/>
    </row>
    <row r="18" spans="1:77" s="206" customFormat="1" ht="12.75">
      <c r="A18" s="198"/>
      <c r="B18" s="198" t="s">
        <v>444</v>
      </c>
      <c r="C18" s="205">
        <v>13244</v>
      </c>
      <c r="D18" s="205">
        <v>12138</v>
      </c>
      <c r="E18" s="205">
        <v>3176</v>
      </c>
      <c r="F18" s="205">
        <v>31</v>
      </c>
      <c r="G18" s="205">
        <v>0</v>
      </c>
      <c r="H18" s="205">
        <v>0</v>
      </c>
      <c r="I18" s="205">
        <v>7556</v>
      </c>
      <c r="J18" s="205">
        <v>5655</v>
      </c>
      <c r="K18" s="205">
        <v>2892</v>
      </c>
      <c r="L18" s="205">
        <v>0</v>
      </c>
      <c r="M18" s="205">
        <v>575</v>
      </c>
      <c r="N18" s="205">
        <v>479</v>
      </c>
      <c r="O18" s="205">
        <v>1589</v>
      </c>
      <c r="P18" s="205">
        <v>4168</v>
      </c>
      <c r="Q18" s="205">
        <v>2994</v>
      </c>
      <c r="R18" s="205">
        <v>1184</v>
      </c>
      <c r="S18" s="205">
        <v>369</v>
      </c>
      <c r="T18" s="205">
        <v>1820</v>
      </c>
      <c r="U18" s="205">
        <v>677</v>
      </c>
      <c r="V18" s="205">
        <v>613</v>
      </c>
      <c r="W18" s="205">
        <v>2895</v>
      </c>
      <c r="X18" s="205">
        <v>2</v>
      </c>
      <c r="Y18" s="205">
        <v>0.354</v>
      </c>
      <c r="Z18" s="205">
        <v>61</v>
      </c>
      <c r="AA18" s="205">
        <v>1087</v>
      </c>
      <c r="AB18" s="205">
        <v>40</v>
      </c>
      <c r="AC18" s="205">
        <v>1050</v>
      </c>
      <c r="AD18" s="205">
        <v>46</v>
      </c>
      <c r="AE18" s="205">
        <v>458</v>
      </c>
      <c r="AF18" s="205">
        <v>584</v>
      </c>
      <c r="AG18" s="205">
        <v>155</v>
      </c>
      <c r="AH18" s="205">
        <v>0</v>
      </c>
      <c r="AI18" s="205"/>
      <c r="AJ18" s="205">
        <v>789</v>
      </c>
      <c r="AK18" s="205">
        <v>1070</v>
      </c>
      <c r="AL18" s="205">
        <v>1531</v>
      </c>
      <c r="AM18" s="205">
        <v>127</v>
      </c>
      <c r="AN18" s="205">
        <v>0</v>
      </c>
      <c r="AO18" s="205">
        <v>98</v>
      </c>
      <c r="AP18" s="205">
        <v>52</v>
      </c>
      <c r="AQ18" s="205">
        <v>5</v>
      </c>
      <c r="AR18" s="205">
        <v>205</v>
      </c>
      <c r="AS18" s="205">
        <v>0</v>
      </c>
      <c r="AT18" s="205">
        <v>94</v>
      </c>
      <c r="AU18" s="205">
        <v>386</v>
      </c>
      <c r="AV18" s="205">
        <v>0</v>
      </c>
      <c r="AW18" s="205">
        <v>292</v>
      </c>
      <c r="AX18" s="205">
        <v>60</v>
      </c>
      <c r="AY18" s="205">
        <v>81</v>
      </c>
      <c r="AZ18" s="205">
        <v>140</v>
      </c>
      <c r="BA18" s="205">
        <v>93</v>
      </c>
      <c r="BB18" s="205">
        <v>34</v>
      </c>
      <c r="BC18" s="205">
        <v>4</v>
      </c>
      <c r="BD18" s="205">
        <v>88</v>
      </c>
      <c r="BE18" s="205">
        <v>12</v>
      </c>
      <c r="BF18" s="205">
        <v>31</v>
      </c>
      <c r="BG18" s="205">
        <v>5</v>
      </c>
      <c r="BH18" s="205">
        <v>5</v>
      </c>
      <c r="BI18" s="205">
        <v>64</v>
      </c>
      <c r="BJ18" s="205">
        <v>66</v>
      </c>
      <c r="BK18" s="205">
        <v>8</v>
      </c>
      <c r="BL18" s="205">
        <v>0</v>
      </c>
      <c r="BM18" s="205"/>
      <c r="BN18" s="205">
        <f t="shared" si="1"/>
        <v>70878.35399999999</v>
      </c>
      <c r="BO18" s="43">
        <f t="shared" si="2"/>
        <v>19249</v>
      </c>
      <c r="BP18" s="43">
        <f t="shared" si="3"/>
        <v>51629.354</v>
      </c>
      <c r="BQ18" s="43"/>
      <c r="BR18" s="43"/>
      <c r="BS18" s="43"/>
      <c r="BT18" s="43"/>
      <c r="BU18" s="43"/>
      <c r="BV18" s="43"/>
      <c r="BW18" s="43"/>
      <c r="BX18" s="43"/>
      <c r="BY18" s="43"/>
    </row>
    <row r="19" spans="1:77" s="206" customFormat="1" ht="12.75">
      <c r="A19" s="198"/>
      <c r="B19" s="140" t="s">
        <v>474</v>
      </c>
      <c r="C19" s="205">
        <f>SUM(C14:C18)</f>
        <v>23056</v>
      </c>
      <c r="D19" s="205">
        <f aca="true" t="shared" si="4" ref="D19:BL19">SUM(D14:D18)</f>
        <v>14096</v>
      </c>
      <c r="E19" s="205">
        <f t="shared" si="4"/>
        <v>3712</v>
      </c>
      <c r="F19" s="205">
        <f t="shared" si="4"/>
        <v>31</v>
      </c>
      <c r="G19" s="205">
        <f t="shared" si="4"/>
        <v>0</v>
      </c>
      <c r="H19" s="205">
        <f t="shared" si="4"/>
        <v>0</v>
      </c>
      <c r="I19" s="205">
        <f t="shared" si="4"/>
        <v>12819</v>
      </c>
      <c r="J19" s="205">
        <f t="shared" si="4"/>
        <v>8459</v>
      </c>
      <c r="K19" s="205">
        <f t="shared" si="4"/>
        <v>6893</v>
      </c>
      <c r="L19" s="205">
        <f t="shared" si="4"/>
        <v>0</v>
      </c>
      <c r="M19" s="205">
        <f t="shared" si="4"/>
        <v>1782</v>
      </c>
      <c r="N19" s="205">
        <f t="shared" si="4"/>
        <v>999</v>
      </c>
      <c r="O19" s="205">
        <f t="shared" si="4"/>
        <v>3766</v>
      </c>
      <c r="P19" s="205">
        <f t="shared" si="4"/>
        <v>4872</v>
      </c>
      <c r="Q19" s="205">
        <f t="shared" si="4"/>
        <v>4052</v>
      </c>
      <c r="R19" s="205">
        <f t="shared" si="4"/>
        <v>4244</v>
      </c>
      <c r="S19" s="205">
        <f t="shared" si="4"/>
        <v>1677</v>
      </c>
      <c r="T19" s="205">
        <f t="shared" si="4"/>
        <v>2561</v>
      </c>
      <c r="U19" s="205">
        <f t="shared" si="4"/>
        <v>2482</v>
      </c>
      <c r="V19" s="205">
        <f t="shared" si="4"/>
        <v>667</v>
      </c>
      <c r="W19" s="205">
        <f t="shared" si="4"/>
        <v>3656</v>
      </c>
      <c r="X19" s="205">
        <f t="shared" si="4"/>
        <v>1103</v>
      </c>
      <c r="Y19" s="205">
        <f t="shared" si="4"/>
        <v>330.354</v>
      </c>
      <c r="Z19" s="205">
        <f t="shared" si="4"/>
        <v>718</v>
      </c>
      <c r="AA19" s="205">
        <f t="shared" si="4"/>
        <v>1684</v>
      </c>
      <c r="AB19" s="205">
        <f t="shared" si="4"/>
        <v>1525</v>
      </c>
      <c r="AC19" s="205">
        <f t="shared" si="4"/>
        <v>1262</v>
      </c>
      <c r="AD19" s="205">
        <f t="shared" si="4"/>
        <v>633</v>
      </c>
      <c r="AE19" s="205">
        <f t="shared" si="4"/>
        <v>2431</v>
      </c>
      <c r="AF19" s="205">
        <f t="shared" si="4"/>
        <v>1062</v>
      </c>
      <c r="AG19" s="205">
        <f t="shared" si="4"/>
        <v>434</v>
      </c>
      <c r="AH19" s="205">
        <f t="shared" si="4"/>
        <v>0</v>
      </c>
      <c r="AI19" s="205"/>
      <c r="AJ19" s="205">
        <f t="shared" si="4"/>
        <v>1148</v>
      </c>
      <c r="AK19" s="205">
        <f t="shared" si="4"/>
        <v>1103</v>
      </c>
      <c r="AL19" s="205">
        <f t="shared" si="4"/>
        <v>2327</v>
      </c>
      <c r="AM19" s="205">
        <f t="shared" si="4"/>
        <v>734</v>
      </c>
      <c r="AN19" s="205">
        <f t="shared" si="4"/>
        <v>143</v>
      </c>
      <c r="AO19" s="205">
        <f t="shared" si="4"/>
        <v>189</v>
      </c>
      <c r="AP19" s="205">
        <f t="shared" si="4"/>
        <v>447</v>
      </c>
      <c r="AQ19" s="205">
        <f t="shared" si="4"/>
        <v>1202</v>
      </c>
      <c r="AR19" s="205">
        <f t="shared" si="4"/>
        <v>229</v>
      </c>
      <c r="AS19" s="205">
        <f t="shared" si="4"/>
        <v>0</v>
      </c>
      <c r="AT19" s="205">
        <f t="shared" si="4"/>
        <v>297</v>
      </c>
      <c r="AU19" s="205">
        <f t="shared" si="4"/>
        <v>566</v>
      </c>
      <c r="AV19" s="205">
        <f t="shared" si="4"/>
        <v>138</v>
      </c>
      <c r="AW19" s="205">
        <f t="shared" si="4"/>
        <v>356</v>
      </c>
      <c r="AX19" s="205">
        <f t="shared" si="4"/>
        <v>135</v>
      </c>
      <c r="AY19" s="205">
        <f t="shared" si="4"/>
        <v>124</v>
      </c>
      <c r="AZ19" s="205">
        <f t="shared" si="4"/>
        <v>297</v>
      </c>
      <c r="BA19" s="205">
        <f t="shared" si="4"/>
        <v>249</v>
      </c>
      <c r="BB19" s="205">
        <f t="shared" si="4"/>
        <v>243</v>
      </c>
      <c r="BC19" s="205">
        <f t="shared" si="4"/>
        <v>94</v>
      </c>
      <c r="BD19" s="205">
        <f t="shared" si="4"/>
        <v>178</v>
      </c>
      <c r="BE19" s="205">
        <f t="shared" si="4"/>
        <v>37</v>
      </c>
      <c r="BF19" s="205">
        <f t="shared" si="4"/>
        <v>31</v>
      </c>
      <c r="BG19" s="205">
        <f t="shared" si="4"/>
        <v>119</v>
      </c>
      <c r="BH19" s="205">
        <f t="shared" si="4"/>
        <v>9</v>
      </c>
      <c r="BI19" s="205">
        <f t="shared" si="4"/>
        <v>64</v>
      </c>
      <c r="BJ19" s="205">
        <f t="shared" si="4"/>
        <v>66</v>
      </c>
      <c r="BK19" s="205">
        <f t="shared" si="4"/>
        <v>8</v>
      </c>
      <c r="BL19" s="205">
        <f t="shared" si="4"/>
        <v>0</v>
      </c>
      <c r="BM19" s="205"/>
      <c r="BN19" s="205">
        <f t="shared" si="1"/>
        <v>121539.354</v>
      </c>
      <c r="BO19" s="43">
        <f t="shared" si="2"/>
        <v>24068</v>
      </c>
      <c r="BP19" s="43">
        <f t="shared" si="3"/>
        <v>97471.354</v>
      </c>
      <c r="BQ19" s="43"/>
      <c r="BR19" s="43"/>
      <c r="BS19" s="43"/>
      <c r="BT19" s="43"/>
      <c r="BU19" s="43"/>
      <c r="BV19" s="43"/>
      <c r="BW19" s="43"/>
      <c r="BX19" s="43"/>
      <c r="BY19" s="43"/>
    </row>
    <row r="20" spans="1:77" s="206" customFormat="1" ht="12.75">
      <c r="A20" s="141" t="s">
        <v>273</v>
      </c>
      <c r="B20" s="198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</row>
    <row r="21" spans="2:77" s="206" customFormat="1" ht="12.75">
      <c r="B21" s="198" t="s">
        <v>472</v>
      </c>
      <c r="C21" s="205">
        <f aca="true" t="shared" si="5" ref="C21:AH21">+C23-C22</f>
        <v>29255</v>
      </c>
      <c r="D21" s="205">
        <f t="shared" si="5"/>
        <v>11770</v>
      </c>
      <c r="E21" s="205">
        <f t="shared" si="5"/>
        <v>4375</v>
      </c>
      <c r="F21" s="205">
        <f t="shared" si="5"/>
        <v>0</v>
      </c>
      <c r="G21" s="205">
        <f t="shared" si="5"/>
        <v>0</v>
      </c>
      <c r="H21" s="205">
        <f t="shared" si="5"/>
        <v>222</v>
      </c>
      <c r="I21" s="205">
        <f t="shared" si="5"/>
        <v>16640</v>
      </c>
      <c r="J21" s="205">
        <f t="shared" si="5"/>
        <v>17367</v>
      </c>
      <c r="K21" s="205">
        <f t="shared" si="5"/>
        <v>12026</v>
      </c>
      <c r="L21" s="205">
        <f t="shared" si="5"/>
        <v>0</v>
      </c>
      <c r="M21" s="205">
        <f t="shared" si="5"/>
        <v>6516</v>
      </c>
      <c r="N21" s="205">
        <f t="shared" si="5"/>
        <v>4426</v>
      </c>
      <c r="O21" s="205">
        <f t="shared" si="5"/>
        <v>3944</v>
      </c>
      <c r="P21" s="205">
        <f t="shared" si="5"/>
        <v>5448</v>
      </c>
      <c r="Q21" s="205">
        <f t="shared" si="5"/>
        <v>3553</v>
      </c>
      <c r="R21" s="205">
        <f t="shared" si="5"/>
        <v>4727</v>
      </c>
      <c r="S21" s="205">
        <f t="shared" si="5"/>
        <v>5112</v>
      </c>
      <c r="T21" s="205">
        <f t="shared" si="5"/>
        <v>4652</v>
      </c>
      <c r="U21" s="205">
        <f t="shared" si="5"/>
        <v>3722</v>
      </c>
      <c r="V21" s="205">
        <f t="shared" si="5"/>
        <v>4220</v>
      </c>
      <c r="W21" s="205">
        <f t="shared" si="5"/>
        <v>4415</v>
      </c>
      <c r="X21" s="205">
        <f t="shared" si="5"/>
        <v>3365</v>
      </c>
      <c r="Y21" s="205">
        <f t="shared" si="5"/>
        <v>3786</v>
      </c>
      <c r="Z21" s="205">
        <f t="shared" si="5"/>
        <v>3511</v>
      </c>
      <c r="AA21" s="205">
        <f t="shared" si="5"/>
        <v>1873</v>
      </c>
      <c r="AB21" s="205">
        <f t="shared" si="5"/>
        <v>2316</v>
      </c>
      <c r="AC21" s="205">
        <f t="shared" si="5"/>
        <v>727</v>
      </c>
      <c r="AD21" s="205">
        <f t="shared" si="5"/>
        <v>2333</v>
      </c>
      <c r="AE21" s="205">
        <f t="shared" si="5"/>
        <v>1024</v>
      </c>
      <c r="AF21" s="205">
        <f t="shared" si="5"/>
        <v>2441</v>
      </c>
      <c r="AG21" s="205">
        <f t="shared" si="5"/>
        <v>2544</v>
      </c>
      <c r="AH21" s="205">
        <f t="shared" si="5"/>
        <v>1246</v>
      </c>
      <c r="AI21" s="205"/>
      <c r="AJ21" s="205">
        <f aca="true" t="shared" si="6" ref="AJ21:BL21">+AJ23-AJ22</f>
        <v>822</v>
      </c>
      <c r="AK21" s="205">
        <f t="shared" si="6"/>
        <v>340</v>
      </c>
      <c r="AL21" s="205">
        <f t="shared" si="6"/>
        <v>252</v>
      </c>
      <c r="AM21" s="205">
        <f t="shared" si="6"/>
        <v>511</v>
      </c>
      <c r="AN21" s="205">
        <f t="shared" si="6"/>
        <v>846</v>
      </c>
      <c r="AO21" s="205">
        <f t="shared" si="6"/>
        <v>203</v>
      </c>
      <c r="AP21" s="205">
        <f t="shared" si="6"/>
        <v>616</v>
      </c>
      <c r="AQ21" s="205">
        <f t="shared" si="6"/>
        <v>78</v>
      </c>
      <c r="AR21" s="205">
        <f t="shared" si="6"/>
        <v>375</v>
      </c>
      <c r="AS21" s="205">
        <f t="shared" si="6"/>
        <v>7</v>
      </c>
      <c r="AT21" s="205">
        <f t="shared" si="6"/>
        <v>536</v>
      </c>
      <c r="AU21" s="205">
        <f t="shared" si="6"/>
        <v>434</v>
      </c>
      <c r="AV21" s="205">
        <f t="shared" si="6"/>
        <v>362</v>
      </c>
      <c r="AW21" s="205">
        <f t="shared" si="6"/>
        <v>308</v>
      </c>
      <c r="AX21" s="205">
        <f t="shared" si="6"/>
        <v>75</v>
      </c>
      <c r="AY21" s="205">
        <f t="shared" si="6"/>
        <v>213</v>
      </c>
      <c r="AZ21" s="205">
        <f t="shared" si="6"/>
        <v>216</v>
      </c>
      <c r="BA21" s="205">
        <f t="shared" si="6"/>
        <v>0</v>
      </c>
      <c r="BB21" s="205">
        <f t="shared" si="6"/>
        <v>178</v>
      </c>
      <c r="BC21" s="205">
        <f t="shared" si="6"/>
        <v>29</v>
      </c>
      <c r="BD21" s="205">
        <f t="shared" si="6"/>
        <v>85</v>
      </c>
      <c r="BE21" s="205">
        <f t="shared" si="6"/>
        <v>41</v>
      </c>
      <c r="BF21" s="205">
        <f t="shared" si="6"/>
        <v>1</v>
      </c>
      <c r="BG21" s="205">
        <f t="shared" si="6"/>
        <v>6</v>
      </c>
      <c r="BH21" s="205">
        <f t="shared" si="6"/>
        <v>22</v>
      </c>
      <c r="BI21" s="205">
        <f t="shared" si="6"/>
        <v>0</v>
      </c>
      <c r="BJ21" s="205">
        <f t="shared" si="6"/>
        <v>0</v>
      </c>
      <c r="BK21" s="205">
        <f t="shared" si="6"/>
        <v>0</v>
      </c>
      <c r="BL21" s="205">
        <f t="shared" si="6"/>
        <v>0</v>
      </c>
      <c r="BM21" s="205"/>
      <c r="BN21" s="205">
        <f>SUM(C21:BM21)</f>
        <v>174112</v>
      </c>
      <c r="BO21" s="43">
        <f>+D21+E21+F21+G21+H21+AA21+AL21+AN21+AR21+AS21+AU21+AW21+AZ21+BA21+BD21+BG21+BH21+BI21+BK21</f>
        <v>20791</v>
      </c>
      <c r="BP21" s="43">
        <f>+C21+I21+J21+K21+L21+M21+N21+O21+P21+Q21+R21+S21+T21+U21+V21+W21+X21+Y21+Z21+AB21+AC21+AD21+AE21+AF21+AG21+AH21+AI21+AJ21+AK21+AM21+AO21+AP21+AQ21+AT21+AV21+AX21+AY21+BB21+BC21+BE21+BF21+BJ21+BL21</f>
        <v>153321</v>
      </c>
      <c r="BQ21" s="43"/>
      <c r="BR21" s="43"/>
      <c r="BS21" s="43"/>
      <c r="BT21" s="43"/>
      <c r="BU21" s="43"/>
      <c r="BV21" s="43"/>
      <c r="BW21" s="43"/>
      <c r="BX21" s="43"/>
      <c r="BY21" s="43"/>
    </row>
    <row r="22" spans="2:77" s="206" customFormat="1" ht="12.75">
      <c r="B22" s="198" t="s">
        <v>473</v>
      </c>
      <c r="C22" s="205">
        <v>234</v>
      </c>
      <c r="D22" s="205">
        <v>156</v>
      </c>
      <c r="E22" s="205">
        <v>56</v>
      </c>
      <c r="F22" s="205">
        <v>0</v>
      </c>
      <c r="G22" s="205">
        <v>0</v>
      </c>
      <c r="H22" s="205">
        <v>5</v>
      </c>
      <c r="I22" s="205">
        <v>565</v>
      </c>
      <c r="J22" s="205">
        <v>136</v>
      </c>
      <c r="K22" s="205">
        <v>373</v>
      </c>
      <c r="L22" s="205">
        <v>0</v>
      </c>
      <c r="M22" s="205">
        <v>952</v>
      </c>
      <c r="N22" s="205">
        <v>78</v>
      </c>
      <c r="O22" s="205">
        <v>49</v>
      </c>
      <c r="P22" s="205">
        <v>223</v>
      </c>
      <c r="Q22" s="205">
        <v>1512</v>
      </c>
      <c r="R22" s="205">
        <v>1096</v>
      </c>
      <c r="S22" s="205">
        <v>134</v>
      </c>
      <c r="T22" s="205">
        <v>124</v>
      </c>
      <c r="U22" s="205">
        <v>153</v>
      </c>
      <c r="V22" s="205">
        <v>184</v>
      </c>
      <c r="W22" s="205">
        <v>0</v>
      </c>
      <c r="X22" s="205">
        <v>121</v>
      </c>
      <c r="Y22" s="205">
        <v>0</v>
      </c>
      <c r="Z22" s="205">
        <v>21</v>
      </c>
      <c r="AA22" s="205">
        <v>24</v>
      </c>
      <c r="AB22" s="205">
        <v>45</v>
      </c>
      <c r="AC22" s="205">
        <v>3</v>
      </c>
      <c r="AD22" s="205">
        <v>0</v>
      </c>
      <c r="AE22" s="205">
        <v>20</v>
      </c>
      <c r="AF22" s="205">
        <v>7</v>
      </c>
      <c r="AG22" s="205">
        <v>32</v>
      </c>
      <c r="AH22" s="205">
        <v>0</v>
      </c>
      <c r="AI22" s="205"/>
      <c r="AJ22" s="205">
        <v>886</v>
      </c>
      <c r="AK22" s="205">
        <v>0</v>
      </c>
      <c r="AL22" s="205">
        <v>3</v>
      </c>
      <c r="AM22" s="205">
        <v>0</v>
      </c>
      <c r="AN22" s="205">
        <v>3</v>
      </c>
      <c r="AO22" s="205">
        <v>4</v>
      </c>
      <c r="AP22" s="205">
        <v>25</v>
      </c>
      <c r="AQ22" s="205">
        <v>0</v>
      </c>
      <c r="AR22" s="205">
        <v>9</v>
      </c>
      <c r="AS22" s="205">
        <v>0</v>
      </c>
      <c r="AT22" s="205">
        <v>7</v>
      </c>
      <c r="AU22" s="205">
        <v>61</v>
      </c>
      <c r="AV22" s="205">
        <v>10</v>
      </c>
      <c r="AW22" s="205">
        <v>6</v>
      </c>
      <c r="AX22" s="205">
        <v>2</v>
      </c>
      <c r="AY22" s="205">
        <v>16</v>
      </c>
      <c r="AZ22" s="205">
        <v>0</v>
      </c>
      <c r="BA22" s="205">
        <v>0</v>
      </c>
      <c r="BB22" s="205">
        <v>2</v>
      </c>
      <c r="BC22" s="205">
        <v>0</v>
      </c>
      <c r="BD22" s="205">
        <v>6</v>
      </c>
      <c r="BE22" s="205">
        <v>1</v>
      </c>
      <c r="BF22" s="205">
        <v>0</v>
      </c>
      <c r="BG22" s="205">
        <v>0</v>
      </c>
      <c r="BH22" s="205">
        <v>2</v>
      </c>
      <c r="BI22" s="205">
        <v>0</v>
      </c>
      <c r="BJ22" s="205">
        <v>0</v>
      </c>
      <c r="BK22" s="205">
        <v>10</v>
      </c>
      <c r="BL22" s="205">
        <v>0</v>
      </c>
      <c r="BM22" s="205"/>
      <c r="BN22" s="205">
        <f>SUM(C22:BM22)</f>
        <v>7356</v>
      </c>
      <c r="BO22" s="43">
        <f>+D22+E22+F22+G22+H22+AA22+AL22+AN22+AR22+AS22+AU22+AW22+AZ22+BA22+BD22+BG22+BH22+BI22+BK22</f>
        <v>341</v>
      </c>
      <c r="BP22" s="43">
        <f>+C22+I22+J22+K22+L22+M22+N22+O22+P22+Q22+R22+S22+T22+U22+V22+W22+X22+Y22+Z22+AB22+AC22+AD22+AE22+AF22+AG22+AH22+AI22+AJ22+AK22+AM22+AO22+AP22+AQ22+AT22+AV22+AX22+AY22+BB22+BC22+BE22+BF22+BJ22+BL22</f>
        <v>7015</v>
      </c>
      <c r="BQ22" s="43"/>
      <c r="BR22" s="43"/>
      <c r="BS22" s="43"/>
      <c r="BT22" s="43"/>
      <c r="BU22" s="43"/>
      <c r="BV22" s="43"/>
      <c r="BW22" s="43"/>
      <c r="BX22" s="43"/>
      <c r="BY22" s="43"/>
    </row>
    <row r="23" spans="2:77" s="206" customFormat="1" ht="12.75">
      <c r="B23" s="140" t="s">
        <v>474</v>
      </c>
      <c r="C23" s="205">
        <v>29489</v>
      </c>
      <c r="D23" s="205">
        <v>11926</v>
      </c>
      <c r="E23" s="205">
        <v>4431</v>
      </c>
      <c r="F23" s="205">
        <v>0</v>
      </c>
      <c r="G23" s="205">
        <v>0</v>
      </c>
      <c r="H23" s="205">
        <v>227</v>
      </c>
      <c r="I23" s="205">
        <v>17205</v>
      </c>
      <c r="J23" s="205">
        <v>17503</v>
      </c>
      <c r="K23" s="205">
        <v>12399</v>
      </c>
      <c r="L23" s="205">
        <v>0</v>
      </c>
      <c r="M23" s="205">
        <v>7468</v>
      </c>
      <c r="N23" s="205">
        <v>4504</v>
      </c>
      <c r="O23" s="205">
        <v>3993</v>
      </c>
      <c r="P23" s="205">
        <v>5671</v>
      </c>
      <c r="Q23" s="205">
        <v>5065</v>
      </c>
      <c r="R23" s="205">
        <v>5823</v>
      </c>
      <c r="S23" s="205">
        <v>5246</v>
      </c>
      <c r="T23" s="205">
        <v>4776</v>
      </c>
      <c r="U23" s="205">
        <v>3875</v>
      </c>
      <c r="V23" s="205">
        <v>4404</v>
      </c>
      <c r="W23" s="205">
        <v>4415</v>
      </c>
      <c r="X23" s="205">
        <v>3486</v>
      </c>
      <c r="Y23" s="205">
        <v>3786</v>
      </c>
      <c r="Z23" s="205">
        <v>3532</v>
      </c>
      <c r="AA23" s="205">
        <v>1897</v>
      </c>
      <c r="AB23" s="205">
        <v>2361</v>
      </c>
      <c r="AC23" s="205">
        <v>730</v>
      </c>
      <c r="AD23" s="205">
        <v>2333</v>
      </c>
      <c r="AE23" s="205">
        <v>1044</v>
      </c>
      <c r="AF23" s="205">
        <v>2448</v>
      </c>
      <c r="AG23" s="205">
        <v>2576</v>
      </c>
      <c r="AH23" s="205">
        <v>1246</v>
      </c>
      <c r="AI23" s="205"/>
      <c r="AJ23" s="205">
        <v>1708</v>
      </c>
      <c r="AK23" s="205">
        <v>340</v>
      </c>
      <c r="AL23" s="205">
        <v>255</v>
      </c>
      <c r="AM23" s="205">
        <v>511</v>
      </c>
      <c r="AN23" s="205">
        <v>849</v>
      </c>
      <c r="AO23" s="205">
        <v>207</v>
      </c>
      <c r="AP23" s="205">
        <v>641</v>
      </c>
      <c r="AQ23" s="205">
        <v>78</v>
      </c>
      <c r="AR23" s="205">
        <v>384</v>
      </c>
      <c r="AS23" s="205">
        <v>7</v>
      </c>
      <c r="AT23" s="205">
        <v>543</v>
      </c>
      <c r="AU23" s="205">
        <v>495</v>
      </c>
      <c r="AV23" s="205">
        <v>372</v>
      </c>
      <c r="AW23" s="205">
        <v>314</v>
      </c>
      <c r="AX23" s="205">
        <v>77</v>
      </c>
      <c r="AY23" s="205">
        <v>229</v>
      </c>
      <c r="AZ23" s="205">
        <v>216</v>
      </c>
      <c r="BA23" s="205">
        <v>0</v>
      </c>
      <c r="BB23" s="205">
        <v>180</v>
      </c>
      <c r="BC23" s="205">
        <v>29</v>
      </c>
      <c r="BD23" s="205">
        <v>91</v>
      </c>
      <c r="BE23" s="205">
        <v>42</v>
      </c>
      <c r="BF23" s="205">
        <v>1</v>
      </c>
      <c r="BG23" s="205">
        <v>6</v>
      </c>
      <c r="BH23" s="205">
        <v>24</v>
      </c>
      <c r="BI23" s="205">
        <v>0</v>
      </c>
      <c r="BJ23" s="205">
        <v>0</v>
      </c>
      <c r="BK23" s="205">
        <v>10</v>
      </c>
      <c r="BL23" s="205">
        <v>0</v>
      </c>
      <c r="BM23" s="205"/>
      <c r="BN23" s="205">
        <f>SUM(C23:BM23)</f>
        <v>181468</v>
      </c>
      <c r="BO23" s="43">
        <f>+D23+E23+F23+G23+H23+AA23+AL23+AN23+AR23+AS23+AU23+AW23+AZ23+BA23+BD23+BG23+BH23+BI23+BK23</f>
        <v>21132</v>
      </c>
      <c r="BP23" s="43">
        <f>+C23+I23+J23+K23+L23+M23+N23+O23+P23+Q23+R23+S23+T23+U23+V23+W23+X23+Y23+Z23+AB23+AC23+AD23+AE23+AF23+AG23+AH23+AI23+AJ23+AK23+AM23+AO23+AP23+AQ23+AT23+AV23+AX23+AY23+BB23+BC23+BE23+BF23+BJ23+BL23</f>
        <v>160336</v>
      </c>
      <c r="BQ23" s="43"/>
      <c r="BR23" s="43"/>
      <c r="BS23" s="43"/>
      <c r="BT23" s="43"/>
      <c r="BU23" s="43"/>
      <c r="BV23" s="43"/>
      <c r="BW23" s="43"/>
      <c r="BX23" s="43"/>
      <c r="BY23" s="43"/>
    </row>
    <row r="24" spans="1:77" s="206" customFormat="1" ht="12.75">
      <c r="A24" s="141"/>
      <c r="B24" s="198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</row>
    <row r="25" spans="2:77" s="206" customFormat="1" ht="18" customHeight="1">
      <c r="B25" s="209" t="s">
        <v>491</v>
      </c>
      <c r="C25" s="205">
        <f>+C11+C19+C23</f>
        <v>84884</v>
      </c>
      <c r="D25" s="205">
        <f aca="true" t="shared" si="7" ref="D25:BL25">+D11+D19+D23</f>
        <v>63009</v>
      </c>
      <c r="E25" s="205">
        <f t="shared" si="7"/>
        <v>12384</v>
      </c>
      <c r="F25" s="205">
        <f t="shared" si="7"/>
        <v>31</v>
      </c>
      <c r="G25" s="205">
        <f t="shared" si="7"/>
        <v>0</v>
      </c>
      <c r="H25" s="205">
        <f t="shared" si="7"/>
        <v>435</v>
      </c>
      <c r="I25" s="205">
        <f t="shared" si="7"/>
        <v>47603</v>
      </c>
      <c r="J25" s="205">
        <f t="shared" si="7"/>
        <v>41694</v>
      </c>
      <c r="K25" s="205">
        <f t="shared" si="7"/>
        <v>41225</v>
      </c>
      <c r="L25" s="205">
        <f t="shared" si="7"/>
        <v>3</v>
      </c>
      <c r="M25" s="205">
        <f t="shared" si="7"/>
        <v>18741</v>
      </c>
      <c r="N25" s="205">
        <f t="shared" si="7"/>
        <v>18916</v>
      </c>
      <c r="O25" s="205">
        <f t="shared" si="7"/>
        <v>16997</v>
      </c>
      <c r="P25" s="205">
        <f t="shared" si="7"/>
        <v>15847</v>
      </c>
      <c r="Q25" s="205">
        <f t="shared" si="7"/>
        <v>14603</v>
      </c>
      <c r="R25" s="205">
        <f t="shared" si="7"/>
        <v>13781</v>
      </c>
      <c r="S25" s="205">
        <f t="shared" si="7"/>
        <v>12033</v>
      </c>
      <c r="T25" s="205">
        <f t="shared" si="7"/>
        <v>11706</v>
      </c>
      <c r="U25" s="205">
        <f t="shared" si="7"/>
        <v>11455</v>
      </c>
      <c r="V25" s="205">
        <f t="shared" si="7"/>
        <v>10343</v>
      </c>
      <c r="W25" s="205">
        <f t="shared" si="7"/>
        <v>8932</v>
      </c>
      <c r="X25" s="205">
        <f t="shared" si="7"/>
        <v>9126</v>
      </c>
      <c r="Y25" s="205">
        <f t="shared" si="7"/>
        <v>8743.725</v>
      </c>
      <c r="Z25" s="205">
        <f t="shared" si="7"/>
        <v>8473</v>
      </c>
      <c r="AA25" s="205">
        <f t="shared" si="7"/>
        <v>7532</v>
      </c>
      <c r="AB25" s="205">
        <f t="shared" si="7"/>
        <v>6873</v>
      </c>
      <c r="AC25" s="205">
        <f t="shared" si="7"/>
        <v>6631</v>
      </c>
      <c r="AD25" s="205">
        <f t="shared" si="7"/>
        <v>6439</v>
      </c>
      <c r="AE25" s="205">
        <f t="shared" si="7"/>
        <v>5888</v>
      </c>
      <c r="AF25" s="205">
        <f t="shared" si="7"/>
        <v>5572</v>
      </c>
      <c r="AG25" s="205">
        <f t="shared" si="7"/>
        <v>4704</v>
      </c>
      <c r="AH25" s="205">
        <f t="shared" si="7"/>
        <v>4047</v>
      </c>
      <c r="AI25" s="205"/>
      <c r="AJ25" s="205">
        <f t="shared" si="7"/>
        <v>3364</v>
      </c>
      <c r="AK25" s="205">
        <f t="shared" si="7"/>
        <v>2969</v>
      </c>
      <c r="AL25" s="205">
        <f t="shared" si="7"/>
        <v>2685</v>
      </c>
      <c r="AM25" s="205">
        <f t="shared" si="7"/>
        <v>2353</v>
      </c>
      <c r="AN25" s="205">
        <f t="shared" si="7"/>
        <v>2366</v>
      </c>
      <c r="AO25" s="205">
        <f t="shared" si="7"/>
        <v>2016</v>
      </c>
      <c r="AP25" s="205">
        <f t="shared" si="7"/>
        <v>1940</v>
      </c>
      <c r="AQ25" s="205">
        <f t="shared" si="7"/>
        <v>1465</v>
      </c>
      <c r="AR25" s="205">
        <f t="shared" si="7"/>
        <v>1156</v>
      </c>
      <c r="AS25" s="205">
        <f t="shared" si="7"/>
        <v>17</v>
      </c>
      <c r="AT25" s="205">
        <f t="shared" si="7"/>
        <v>1688</v>
      </c>
      <c r="AU25" s="205">
        <f t="shared" si="7"/>
        <v>1363</v>
      </c>
      <c r="AV25" s="205">
        <f t="shared" si="7"/>
        <v>1206</v>
      </c>
      <c r="AW25" s="205">
        <f t="shared" si="7"/>
        <v>1220</v>
      </c>
      <c r="AX25" s="205">
        <f t="shared" si="7"/>
        <v>1196</v>
      </c>
      <c r="AY25" s="205">
        <f t="shared" si="7"/>
        <v>1076</v>
      </c>
      <c r="AZ25" s="205">
        <f t="shared" si="7"/>
        <v>1056</v>
      </c>
      <c r="BA25" s="205">
        <f t="shared" si="7"/>
        <v>765</v>
      </c>
      <c r="BB25" s="205">
        <f t="shared" si="7"/>
        <v>644</v>
      </c>
      <c r="BC25" s="205">
        <f t="shared" si="7"/>
        <v>593</v>
      </c>
      <c r="BD25" s="205">
        <f t="shared" si="7"/>
        <v>429</v>
      </c>
      <c r="BE25" s="205">
        <f t="shared" si="7"/>
        <v>463</v>
      </c>
      <c r="BF25" s="205">
        <f t="shared" si="7"/>
        <v>401</v>
      </c>
      <c r="BG25" s="205">
        <f t="shared" si="7"/>
        <v>236</v>
      </c>
      <c r="BH25" s="205">
        <f t="shared" si="7"/>
        <v>116.1</v>
      </c>
      <c r="BI25" s="205">
        <f t="shared" si="7"/>
        <v>83</v>
      </c>
      <c r="BJ25" s="205">
        <f t="shared" si="7"/>
        <v>74</v>
      </c>
      <c r="BK25" s="205">
        <f t="shared" si="7"/>
        <v>55</v>
      </c>
      <c r="BL25" s="205">
        <f t="shared" si="7"/>
        <v>8</v>
      </c>
      <c r="BM25" s="205"/>
      <c r="BN25" s="205">
        <f>SUM(C25:BM25)</f>
        <v>551653.825</v>
      </c>
      <c r="BO25" s="43">
        <f>+D25+E25+F25+G25+H25+AA25+AL25+AN25+AR25+AS25+AU25+AW25+AZ25+BA25+BD25+BG25+BH25+BI25+BK25</f>
        <v>94938.1</v>
      </c>
      <c r="BP25" s="43">
        <f>+C25+I25+J25+K25+L25+M25+N25+O25+P25+Q25+R25+S25+T25+U25+V25+W25+X25+Y25+Z25+AB25+AC25+AD25+AE25+AF25+AG25+AH25+AI25+AJ25+AK25+AM25+AO25+AP25+AQ25+AT25+AV25+AX25+AY25+BB25+BC25+BE25+BF25+BJ25+BL25</f>
        <v>456715.725</v>
      </c>
      <c r="BQ25" s="43"/>
      <c r="BR25" s="43"/>
      <c r="BS25" s="43"/>
      <c r="BT25" s="43"/>
      <c r="BU25" s="43"/>
      <c r="BV25" s="43"/>
      <c r="BW25" s="43"/>
      <c r="BX25" s="43"/>
      <c r="BY25" s="43"/>
    </row>
    <row r="26" spans="1:77" s="206" customFormat="1" ht="12.75" hidden="1">
      <c r="A26" s="141" t="s">
        <v>437</v>
      </c>
      <c r="B26" s="198"/>
      <c r="C26" s="205">
        <f>(+'3.1 Efnah.'!B24-'3.1 Efnah.'!B22)/1000</f>
        <v>84883.152561</v>
      </c>
      <c r="D26" s="205">
        <f>(+'3.1 Efnah.'!E24-'3.1 Efnah.'!E22)/1000</f>
        <v>63017.564</v>
      </c>
      <c r="E26" s="205">
        <f>(+'3.1 Efnah.'!F24-'3.1 Efnah.'!F22)/1000</f>
        <v>12383.159</v>
      </c>
      <c r="F26" s="205">
        <f>(+'3.1 Efnah.'!G24-'3.1 Efnah.'!G22)/1000</f>
        <v>30.815</v>
      </c>
      <c r="G26" s="205">
        <f>(+'3.1 Efnah.'!H24-'3.1 Efnah.'!H22)/1000</f>
        <v>0</v>
      </c>
      <c r="H26" s="205">
        <v>446.641</v>
      </c>
      <c r="I26" s="205">
        <f>+('3.1 Efnah.'!J25-'3.1 Efnah.'!J10)/1000</f>
        <v>47649.137447</v>
      </c>
      <c r="J26" s="205">
        <f>+('3.1 Efnah.'!L25-'3.1 Efnah.'!L10)/1000</f>
        <v>41616.406</v>
      </c>
      <c r="K26" s="205">
        <f>+('3.1 Efnah.'!P24-'3.1 Efnah.'!P22)/1000</f>
        <v>41243.272744999995</v>
      </c>
      <c r="L26" s="205">
        <v>3.491676</v>
      </c>
      <c r="M26" s="205">
        <f>+('3.1 Efnah.'!R24-'3.1 Efnah.'!R22)/1000</f>
        <v>18757.458393</v>
      </c>
      <c r="N26" s="205">
        <f>+('3.1 Efnah.'!T24-'3.1 Efnah.'!T22)/1000</f>
        <v>18916.486633</v>
      </c>
      <c r="O26" s="205">
        <f>+('3.1 Efnah.'!V24-'3.1 Efnah.'!V22)/1000</f>
        <v>16997.128252</v>
      </c>
      <c r="P26" s="205">
        <v>15847.43127</v>
      </c>
      <c r="Q26" s="205">
        <f>+('3.1 Efnah.'!AA24-'3.1 Efnah.'!AA22)/1000</f>
        <v>14602.903968999999</v>
      </c>
      <c r="R26" s="205">
        <f>+('3.1 Efnah.'!AC24-'3.1 Efnah.'!AC22)/1000</f>
        <v>13868.557538000001</v>
      </c>
      <c r="S26" s="205">
        <f>+('3.1 Efnah.'!AD24-'3.1 Efnah.'!AD22)/1000</f>
        <v>11990.772425</v>
      </c>
      <c r="T26" s="205">
        <f>+('3.1 Efnah.'!AF24-'3.1 Efnah.'!AF22)/1000</f>
        <v>11685.473</v>
      </c>
      <c r="U26" s="205">
        <f>+('3.1 Efnah.'!AG24-'3.1 Efnah.'!AG22)/1000</f>
        <v>11465.671334999999</v>
      </c>
      <c r="V26" s="205">
        <f>+('3.1 Efnah.'!AH24-'3.1 Efnah.'!AH22)/1000</f>
        <v>10379.288731999999</v>
      </c>
      <c r="W26" s="205">
        <f>+('3.1 Efnah.'!AI24-'3.1 Efnah.'!AI22)/1000</f>
        <v>8958.596353999998</v>
      </c>
      <c r="X26" s="205">
        <f>+('3.1 Efnah.'!AK24-'3.1 Efnah.'!AK22+'3.1 Efnah.'!AK14)/1000</f>
        <v>9132.621052</v>
      </c>
      <c r="Y26" s="205">
        <f>+('3.1 Efnah.'!AM24-'3.1 Efnah.'!AM22)/1000</f>
        <v>8743.07938</v>
      </c>
      <c r="Z26" s="205">
        <f>+('3.1 Efnah.'!AO24-'3.1 Efnah.'!AO22)/1000</f>
        <v>8424.81139</v>
      </c>
      <c r="AA26" s="205">
        <f>+('3.1 Efnah.'!AQ24-'3.1 Efnah.'!AQ22)/1000</f>
        <v>7501.006055</v>
      </c>
      <c r="AB26" s="205">
        <f>+('3.1 Efnah.'!AR24-'3.1 Efnah.'!AR22+'3.1 Efnah.'!AR11)/1000</f>
        <v>6862.188199000001</v>
      </c>
      <c r="AC26" s="205">
        <f>+('3.1 Efnah.'!AT24-'3.1 Efnah.'!AT22)/1000</f>
        <v>6025.047161</v>
      </c>
      <c r="AD26" s="205">
        <f>+('3.1 Efnah.'!AV24-'3.1 Efnah.'!AV22)/1000</f>
        <v>6440.168</v>
      </c>
      <c r="AE26" s="205">
        <f>+('3.1 Efnah.'!AX24-'3.1 Efnah.'!AX22)/1000</f>
        <v>5929.2796849999995</v>
      </c>
      <c r="AF26" s="205">
        <f>+('3.1 Efnah.'!AY24-'3.1 Efnah.'!AY22)/1000</f>
        <v>5536.910441</v>
      </c>
      <c r="AG26" s="205">
        <f>+('3.1 Efnah.'!BA24-'3.1 Efnah.'!BA22)/1000</f>
        <v>4704.281091000001</v>
      </c>
      <c r="AH26" s="205">
        <f>+('3.1 Efnah.'!BB24-'3.1 Efnah.'!BB22)/1000</f>
        <v>4038.4558999999995</v>
      </c>
      <c r="AI26" s="205"/>
      <c r="AJ26" s="205">
        <f>+('3.1 Efnah.'!BF24-'3.1 Efnah.'!BF22)/1000</f>
        <v>3378.449466</v>
      </c>
      <c r="AK26" s="205">
        <f>+('3.1 Efnah.'!BH24-'3.1 Efnah.'!BH22)/1000</f>
        <v>3018.672588</v>
      </c>
      <c r="AL26" s="205">
        <f>+('3.1 Efnah.'!BJ24-'3.1 Efnah.'!BJ22)/1000</f>
        <v>2811.945079</v>
      </c>
      <c r="AM26" s="205">
        <f>+('3.1 Efnah.'!BK24-'3.1 Efnah.'!BK22)/1000</f>
        <v>2499.1266579999997</v>
      </c>
      <c r="AN26" s="205">
        <f>+('3.1 Efnah.'!BN24-'3.1 Efnah.'!BN22)/1000</f>
        <v>2354.187225</v>
      </c>
      <c r="AO26" s="205">
        <f>+('3.1 Efnah.'!BO24-'3.1 Efnah.'!BO22)/1000</f>
        <v>2008.833317</v>
      </c>
      <c r="AP26" s="205">
        <f>+('3.1 Efnah.'!BP24-'3.1 Efnah.'!BP22)/1000</f>
        <v>1932.842937</v>
      </c>
      <c r="AQ26" s="205">
        <f>+('3.1 Efnah.'!BQ24-'3.1 Efnah.'!BQ22)/1000</f>
        <v>1476.29009</v>
      </c>
      <c r="AR26" s="205">
        <f>+('3.1 Efnah.'!BR24-'3.1 Efnah.'!BR22)/1000</f>
        <v>1176.497852</v>
      </c>
      <c r="AS26" s="205">
        <v>0</v>
      </c>
      <c r="AT26" s="205">
        <f>+('3.1 Efnah.'!BV24-'3.1 Efnah.'!BV22)/1000</f>
        <v>1692.571679</v>
      </c>
      <c r="AU26" s="205">
        <f>+('3.1 Efnah.'!BW24-'3.1 Efnah.'!BW22)/1000</f>
        <v>1363.7266779999998</v>
      </c>
      <c r="AV26" s="205">
        <f>+('3.1 Efnah.'!BX24-'3.1 Efnah.'!BX22)/1000</f>
        <v>1205.560278</v>
      </c>
      <c r="AW26" s="205">
        <f>+('3.1 Efnah.'!BZ24-'3.1 Efnah.'!BZ22)/1000</f>
        <v>1201.880323</v>
      </c>
      <c r="AX26" s="205">
        <f>+('3.1 Efnah.'!CC24-'3.1 Efnah.'!CC22)/1000</f>
        <v>1189.8841710000002</v>
      </c>
      <c r="AY26" s="205">
        <f>+('3.1 Efnah.'!CD24-'3.1 Efnah.'!CD22)/1000</f>
        <v>1066.040475</v>
      </c>
      <c r="AZ26" s="205">
        <f>+('3.1 Efnah.'!CF24-'3.1 Efnah.'!CF22)/1000</f>
        <v>1055.209152</v>
      </c>
      <c r="BA26" s="205">
        <f>+('3.1 Efnah.'!CG24-'3.1 Efnah.'!CG22)/1000</f>
        <v>762.925755</v>
      </c>
      <c r="BB26" s="205">
        <f>+('3.1 Efnah.'!CH24-'3.1 Efnah.'!CH22)/1000</f>
        <v>638.4049880000001</v>
      </c>
      <c r="BC26" s="205">
        <f>+('3.1 Efnah.'!CI24-'3.1 Efnah.'!CI22)/1000</f>
        <v>589.5806110000001</v>
      </c>
      <c r="BD26" s="205">
        <f>+('3.1 Efnah.'!CJ24-'3.1 Efnah.'!CJ22)/1000</f>
        <v>428.765759</v>
      </c>
      <c r="BE26" s="205">
        <f>+('3.1 Efnah.'!CK24-'3.1 Efnah.'!CK22)/1000</f>
        <v>462.636797</v>
      </c>
      <c r="BF26" s="205">
        <f>+('3.1 Efnah.'!CL24-'3.1 Efnah.'!CL22)/1000</f>
        <v>401.821896</v>
      </c>
      <c r="BG26" s="205">
        <f>+('3.1 Efnah.'!CM24-'3.1 Efnah.'!CM22)/1000</f>
        <v>236.88477100000003</v>
      </c>
      <c r="BH26" s="205">
        <f>+('3.1 Efnah.'!CN24-'3.1 Efnah.'!CN22)/1000</f>
        <v>115.867338</v>
      </c>
      <c r="BI26" s="205">
        <f>+('3.1 Efnah.'!CO24-'3.1 Efnah.'!CO22)/1000</f>
        <v>83.317417</v>
      </c>
      <c r="BJ26" s="205">
        <f>+('3.1 Efnah.'!CP24-'3.1 Efnah.'!CP22)/1000</f>
        <v>73.86613799999999</v>
      </c>
      <c r="BK26" s="205">
        <f>+('3.1 Efnah.'!CR24-'3.1 Efnah.'!CR22)/1000</f>
        <v>54.898875</v>
      </c>
      <c r="BL26" s="205">
        <f>+('3.1 Efnah.'!CS24-'3.1 Efnah.'!CS22)/1000</f>
        <v>7.96782</v>
      </c>
      <c r="BM26" s="205"/>
      <c r="BN26" s="205">
        <f>+'3.1 Efnah.'!CV24/1000</f>
        <v>557843.1767820002</v>
      </c>
      <c r="BO26" s="43">
        <f>+D26+E26+F26+G26+H26+AA26+AL26+AN26+AR26+AS26+AU26+AW26+AZ26+BA26+BD26+BG26+BH26+BI26+BK26</f>
        <v>95025.29127900001</v>
      </c>
      <c r="BP26" s="43">
        <f>+C26+I26+J26+K26+L26+M26+N26+O26+P26+Q26+R26+S26+T26+U26+V26+W26+X26+Y26+Z26+AB26+AC26+AD26+AE26+AF26+AG26+AH26+AI26+AJ26+AK26+AM26+AO26+AP26+AQ26+AT26+AV26+AX26+AY26+BB26+BC26+BE26+BF26+BJ26+BL26</f>
        <v>456344.6205380001</v>
      </c>
      <c r="BQ26" s="43"/>
      <c r="BR26" s="43"/>
      <c r="BS26" s="43"/>
      <c r="BT26" s="43"/>
      <c r="BU26" s="43"/>
      <c r="BV26" s="43"/>
      <c r="BW26" s="43"/>
      <c r="BX26" s="43"/>
      <c r="BY26" s="43"/>
    </row>
    <row r="27" spans="1:77" s="206" customFormat="1" ht="12.75" hidden="1">
      <c r="A27" s="141"/>
      <c r="B27" s="198"/>
      <c r="C27" s="205">
        <f>+C25-C26</f>
        <v>0.8474390000046697</v>
      </c>
      <c r="D27" s="205">
        <f aca="true" t="shared" si="8" ref="D27:BL27">+D25-D26</f>
        <v>-8.563999999998487</v>
      </c>
      <c r="E27" s="205">
        <f t="shared" si="8"/>
        <v>0.8410000000003492</v>
      </c>
      <c r="F27" s="205">
        <f t="shared" si="8"/>
        <v>0.18499999999999872</v>
      </c>
      <c r="G27" s="205">
        <f t="shared" si="8"/>
        <v>0</v>
      </c>
      <c r="H27" s="205">
        <f t="shared" si="8"/>
        <v>-11.64100000000002</v>
      </c>
      <c r="I27" s="205">
        <f t="shared" si="8"/>
        <v>-46.137447000000975</v>
      </c>
      <c r="J27" s="205">
        <f t="shared" si="8"/>
        <v>77.59399999999732</v>
      </c>
      <c r="K27" s="205">
        <f t="shared" si="8"/>
        <v>-18.272744999994757</v>
      </c>
      <c r="L27" s="205">
        <f t="shared" si="8"/>
        <v>-0.491676</v>
      </c>
      <c r="M27" s="205">
        <f t="shared" si="8"/>
        <v>-16.458393000000797</v>
      </c>
      <c r="N27" s="205">
        <f t="shared" si="8"/>
        <v>-0.4866330000004382</v>
      </c>
      <c r="O27" s="205">
        <f t="shared" si="8"/>
        <v>-0.1282519999986107</v>
      </c>
      <c r="P27" s="205">
        <f t="shared" si="8"/>
        <v>-0.43126999999913096</v>
      </c>
      <c r="Q27" s="205">
        <f t="shared" si="8"/>
        <v>0.09603100000094855</v>
      </c>
      <c r="R27" s="205">
        <f t="shared" si="8"/>
        <v>-87.55753800000093</v>
      </c>
      <c r="S27" s="205">
        <f t="shared" si="8"/>
        <v>42.2275750000008</v>
      </c>
      <c r="T27" s="205">
        <f t="shared" si="8"/>
        <v>20.527000000000044</v>
      </c>
      <c r="U27" s="205">
        <f t="shared" si="8"/>
        <v>-10.67133499999909</v>
      </c>
      <c r="V27" s="205">
        <f t="shared" si="8"/>
        <v>-36.28873199999907</v>
      </c>
      <c r="W27" s="205">
        <f t="shared" si="8"/>
        <v>-26.59635399999752</v>
      </c>
      <c r="X27" s="205">
        <f t="shared" si="8"/>
        <v>-6.621052000000418</v>
      </c>
      <c r="Y27" s="205">
        <f t="shared" si="8"/>
        <v>0.645620000001145</v>
      </c>
      <c r="Z27" s="205">
        <f t="shared" si="8"/>
        <v>48.188609999999244</v>
      </c>
      <c r="AA27" s="205">
        <f t="shared" si="8"/>
        <v>30.993945000000167</v>
      </c>
      <c r="AB27" s="205">
        <f t="shared" si="8"/>
        <v>10.811800999998923</v>
      </c>
      <c r="AC27" s="205">
        <f t="shared" si="8"/>
        <v>605.9528389999996</v>
      </c>
      <c r="AD27" s="205">
        <f t="shared" si="8"/>
        <v>-1.1679999999996653</v>
      </c>
      <c r="AE27" s="205">
        <f t="shared" si="8"/>
        <v>-41.27968499999952</v>
      </c>
      <c r="AF27" s="205">
        <f t="shared" si="8"/>
        <v>35.08955900000001</v>
      </c>
      <c r="AG27" s="205">
        <f t="shared" si="8"/>
        <v>-0.2810910000007425</v>
      </c>
      <c r="AH27" s="205">
        <f t="shared" si="8"/>
        <v>8.544100000000526</v>
      </c>
      <c r="AI27" s="205"/>
      <c r="AJ27" s="205">
        <f t="shared" si="8"/>
        <v>-14.44946600000003</v>
      </c>
      <c r="AK27" s="205">
        <f t="shared" si="8"/>
        <v>-49.672587999999905</v>
      </c>
      <c r="AL27" s="205">
        <f t="shared" si="8"/>
        <v>-126.94507900000008</v>
      </c>
      <c r="AM27" s="205">
        <f t="shared" si="8"/>
        <v>-146.12665799999968</v>
      </c>
      <c r="AN27" s="205">
        <f t="shared" si="8"/>
        <v>11.812774999999874</v>
      </c>
      <c r="AO27" s="205">
        <f t="shared" si="8"/>
        <v>7.166682999999921</v>
      </c>
      <c r="AP27" s="205">
        <f t="shared" si="8"/>
        <v>7.157063000000107</v>
      </c>
      <c r="AQ27" s="205">
        <f t="shared" si="8"/>
        <v>-11.290089999999964</v>
      </c>
      <c r="AR27" s="205">
        <f t="shared" si="8"/>
        <v>-20.497851999999966</v>
      </c>
      <c r="AS27" s="205">
        <f t="shared" si="8"/>
        <v>17</v>
      </c>
      <c r="AT27" s="205">
        <f t="shared" si="8"/>
        <v>-4.571678999999904</v>
      </c>
      <c r="AU27" s="205">
        <f t="shared" si="8"/>
        <v>-0.7266779999997652</v>
      </c>
      <c r="AV27" s="205">
        <f t="shared" si="8"/>
        <v>0.43972200000007433</v>
      </c>
      <c r="AW27" s="205">
        <f t="shared" si="8"/>
        <v>18.11967699999991</v>
      </c>
      <c r="AX27" s="205">
        <f t="shared" si="8"/>
        <v>6.115828999999849</v>
      </c>
      <c r="AY27" s="205">
        <f t="shared" si="8"/>
        <v>9.959524999999985</v>
      </c>
      <c r="AZ27" s="205">
        <f t="shared" si="8"/>
        <v>0.7908480000000964</v>
      </c>
      <c r="BA27" s="205">
        <f t="shared" si="8"/>
        <v>2.074245000000019</v>
      </c>
      <c r="BB27" s="205">
        <f t="shared" si="8"/>
        <v>5.595011999999883</v>
      </c>
      <c r="BC27" s="205">
        <f t="shared" si="8"/>
        <v>3.41938899999991</v>
      </c>
      <c r="BD27" s="205">
        <f t="shared" si="8"/>
        <v>0.23424099999999726</v>
      </c>
      <c r="BE27" s="205">
        <f t="shared" si="8"/>
        <v>0.3632029999999986</v>
      </c>
      <c r="BF27" s="205">
        <f t="shared" si="8"/>
        <v>-0.8218959999999811</v>
      </c>
      <c r="BG27" s="205">
        <f t="shared" si="8"/>
        <v>-0.8847710000000291</v>
      </c>
      <c r="BH27" s="205">
        <f t="shared" si="8"/>
        <v>0.2326619999999906</v>
      </c>
      <c r="BI27" s="205">
        <f t="shared" si="8"/>
        <v>-0.31741700000000606</v>
      </c>
      <c r="BJ27" s="205">
        <f t="shared" si="8"/>
        <v>0.1338620000000077</v>
      </c>
      <c r="BK27" s="205">
        <f t="shared" si="8"/>
        <v>0.10112500000000324</v>
      </c>
      <c r="BL27" s="205">
        <f t="shared" si="8"/>
        <v>0.03218000000000032</v>
      </c>
      <c r="BM27" s="205"/>
      <c r="BN27" s="205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</row>
    <row r="28" spans="2:77" s="206" customFormat="1" ht="18" customHeight="1">
      <c r="B28" s="141" t="s">
        <v>492</v>
      </c>
      <c r="C28" s="205">
        <v>19984</v>
      </c>
      <c r="D28" s="205">
        <v>10131</v>
      </c>
      <c r="E28" s="205">
        <v>3532</v>
      </c>
      <c r="F28" s="205">
        <v>0</v>
      </c>
      <c r="G28" s="205">
        <v>0</v>
      </c>
      <c r="H28" s="205">
        <v>160</v>
      </c>
      <c r="I28" s="205">
        <v>10988</v>
      </c>
      <c r="J28" s="205">
        <v>16442</v>
      </c>
      <c r="K28" s="205">
        <v>8531</v>
      </c>
      <c r="L28" s="205">
        <v>0</v>
      </c>
      <c r="M28" s="205">
        <v>5667</v>
      </c>
      <c r="N28" s="205">
        <v>2617</v>
      </c>
      <c r="O28" s="205">
        <v>3055</v>
      </c>
      <c r="P28" s="205">
        <v>3655</v>
      </c>
      <c r="Q28" s="205">
        <v>1586</v>
      </c>
      <c r="R28" s="205">
        <v>3219</v>
      </c>
      <c r="S28" s="205">
        <v>3753</v>
      </c>
      <c r="T28" s="205">
        <v>3272</v>
      </c>
      <c r="U28" s="205">
        <v>2881</v>
      </c>
      <c r="V28" s="205">
        <v>3436</v>
      </c>
      <c r="W28" s="205">
        <v>4223</v>
      </c>
      <c r="X28" s="205">
        <v>2431</v>
      </c>
      <c r="Y28" s="205">
        <v>2893</v>
      </c>
      <c r="Z28" s="205">
        <v>2617</v>
      </c>
      <c r="AA28" s="205">
        <v>1592</v>
      </c>
      <c r="AB28" s="205">
        <v>996</v>
      </c>
      <c r="AC28" s="205">
        <v>672</v>
      </c>
      <c r="AD28" s="205">
        <v>1932</v>
      </c>
      <c r="AE28" s="205">
        <v>309</v>
      </c>
      <c r="AF28" s="205">
        <v>1688</v>
      </c>
      <c r="AG28" s="205">
        <v>2258</v>
      </c>
      <c r="AH28" s="205">
        <v>672</v>
      </c>
      <c r="AI28" s="205"/>
      <c r="AJ28" s="205">
        <v>1117</v>
      </c>
      <c r="AK28" s="205">
        <v>173.7</v>
      </c>
      <c r="AL28" s="205">
        <v>239</v>
      </c>
      <c r="AM28" s="205">
        <v>169</v>
      </c>
      <c r="AN28" s="205">
        <v>612</v>
      </c>
      <c r="AO28" s="205">
        <v>324</v>
      </c>
      <c r="AP28" s="205">
        <v>377</v>
      </c>
      <c r="AQ28" s="205">
        <v>3</v>
      </c>
      <c r="AR28" s="205">
        <v>300</v>
      </c>
      <c r="AS28" s="205">
        <v>5</v>
      </c>
      <c r="AT28" s="205">
        <v>364</v>
      </c>
      <c r="AU28" s="205">
        <v>387</v>
      </c>
      <c r="AV28" s="205">
        <v>267</v>
      </c>
      <c r="AW28" s="205">
        <v>338</v>
      </c>
      <c r="AX28" s="205">
        <v>196</v>
      </c>
      <c r="AY28" s="205">
        <v>148</v>
      </c>
      <c r="AZ28" s="205">
        <v>201</v>
      </c>
      <c r="BA28" s="205">
        <v>10</v>
      </c>
      <c r="BB28" s="205">
        <v>140</v>
      </c>
      <c r="BC28" s="205">
        <v>11</v>
      </c>
      <c r="BD28" s="205">
        <v>53</v>
      </c>
      <c r="BE28" s="205">
        <v>28</v>
      </c>
      <c r="BF28" s="205">
        <v>0</v>
      </c>
      <c r="BG28" s="205">
        <v>3</v>
      </c>
      <c r="BH28" s="205">
        <v>14</v>
      </c>
      <c r="BI28" s="205">
        <v>0</v>
      </c>
      <c r="BJ28" s="205">
        <v>0</v>
      </c>
      <c r="BK28" s="205">
        <v>0</v>
      </c>
      <c r="BL28" s="205">
        <v>0</v>
      </c>
      <c r="BM28" s="205"/>
      <c r="BN28" s="205">
        <f>SUM(C28:BM28)</f>
        <v>130671.7</v>
      </c>
      <c r="BO28" s="43">
        <f>+D28+E28+F28+G28+H28+AA28+AL28+AN28+AR28+AS28+AU28+AW28+AZ28+BA28+BD28+BG28+BH28+BI28+BK28</f>
        <v>17577</v>
      </c>
      <c r="BP28" s="43">
        <f>+C28+I28+J28+K28+L28+M28+N28+O28+P28+Q28+R28+S28+T28+U28+V28+W28+X28+Y28+Z28+AB28+AC28+AD28+AE28+AF28+AG28+AH28+AI28+AJ28+AK28+AM28+AO28+AP28+AQ28+AT28+AV28+AX28+AY28+BB28+BC28+BE28+BF28+BJ28+BL28</f>
        <v>113094.7</v>
      </c>
      <c r="BQ28" s="43"/>
      <c r="BR28" s="43"/>
      <c r="BS28" s="43"/>
      <c r="BT28" s="43"/>
      <c r="BU28" s="43"/>
      <c r="BV28" s="43"/>
      <c r="BW28" s="43"/>
      <c r="BX28" s="43"/>
      <c r="BY28" s="43"/>
    </row>
    <row r="29" spans="2:77" s="206" customFormat="1" ht="19.5" customHeight="1">
      <c r="B29" s="141" t="s">
        <v>493</v>
      </c>
      <c r="C29" s="205">
        <v>10046</v>
      </c>
      <c r="D29" s="205">
        <v>2113</v>
      </c>
      <c r="E29" s="205">
        <v>592</v>
      </c>
      <c r="F29" s="205">
        <v>0</v>
      </c>
      <c r="G29" s="205">
        <v>0</v>
      </c>
      <c r="H29" s="205">
        <v>5</v>
      </c>
      <c r="I29" s="205">
        <v>5828</v>
      </c>
      <c r="J29" s="205">
        <v>2940</v>
      </c>
      <c r="K29" s="205">
        <v>4374</v>
      </c>
      <c r="L29" s="205">
        <v>0</v>
      </c>
      <c r="M29" s="205">
        <v>2159</v>
      </c>
      <c r="N29" s="205">
        <v>598</v>
      </c>
      <c r="O29" s="205">
        <v>2226</v>
      </c>
      <c r="P29" s="205">
        <v>927</v>
      </c>
      <c r="Q29" s="205">
        <v>2570</v>
      </c>
      <c r="R29" s="205">
        <v>4156</v>
      </c>
      <c r="S29" s="205">
        <v>1442</v>
      </c>
      <c r="T29" s="205">
        <v>865</v>
      </c>
      <c r="U29" s="205">
        <v>1958</v>
      </c>
      <c r="V29" s="205">
        <v>238</v>
      </c>
      <c r="W29" s="205">
        <v>761</v>
      </c>
      <c r="X29" s="205">
        <v>1222</v>
      </c>
      <c r="Y29" s="205">
        <v>330</v>
      </c>
      <c r="Z29" s="205">
        <v>678</v>
      </c>
      <c r="AA29" s="205">
        <v>621</v>
      </c>
      <c r="AB29" s="205">
        <v>1530</v>
      </c>
      <c r="AC29" s="205">
        <v>215</v>
      </c>
      <c r="AD29" s="205">
        <v>587</v>
      </c>
      <c r="AE29" s="205">
        <v>1993</v>
      </c>
      <c r="AF29" s="205">
        <v>485</v>
      </c>
      <c r="AG29" s="205">
        <v>311</v>
      </c>
      <c r="AH29" s="205">
        <v>0</v>
      </c>
      <c r="AI29" s="205"/>
      <c r="AJ29" s="205">
        <v>1245</v>
      </c>
      <c r="AK29" s="205">
        <v>33</v>
      </c>
      <c r="AL29" s="205">
        <v>799</v>
      </c>
      <c r="AM29" s="205">
        <v>607</v>
      </c>
      <c r="AN29" s="205">
        <v>146</v>
      </c>
      <c r="AO29" s="205">
        <v>94</v>
      </c>
      <c r="AP29" s="205">
        <v>420</v>
      </c>
      <c r="AQ29" s="205">
        <v>1197</v>
      </c>
      <c r="AR29" s="205">
        <v>33</v>
      </c>
      <c r="AS29" s="205">
        <v>0</v>
      </c>
      <c r="AT29" s="205">
        <v>210</v>
      </c>
      <c r="AU29" s="205">
        <v>241</v>
      </c>
      <c r="AV29" s="205">
        <v>148</v>
      </c>
      <c r="AW29" s="205">
        <v>70</v>
      </c>
      <c r="AX29" s="205">
        <v>78</v>
      </c>
      <c r="AY29" s="205">
        <v>59</v>
      </c>
      <c r="AZ29" s="205">
        <v>157</v>
      </c>
      <c r="BA29" s="205">
        <v>156</v>
      </c>
      <c r="BB29" s="205">
        <v>211</v>
      </c>
      <c r="BC29" s="205">
        <v>90</v>
      </c>
      <c r="BD29" s="205">
        <v>96</v>
      </c>
      <c r="BE29" s="205">
        <v>26</v>
      </c>
      <c r="BF29" s="205">
        <v>0</v>
      </c>
      <c r="BG29" s="205">
        <v>114</v>
      </c>
      <c r="BH29" s="205">
        <v>7</v>
      </c>
      <c r="BI29" s="205">
        <v>0</v>
      </c>
      <c r="BJ29" s="205">
        <v>0</v>
      </c>
      <c r="BK29" s="205">
        <v>10</v>
      </c>
      <c r="BL29" s="205">
        <v>0</v>
      </c>
      <c r="BM29" s="205"/>
      <c r="BN29" s="205">
        <f>SUM(C29:BM29)</f>
        <v>58017</v>
      </c>
      <c r="BO29" s="43">
        <f>+D29+E29+F29+G29+H29+AA29+AL29+AN29+AR29+AS29+AU29+AW29+AZ29+BA29+BD29+BG29+BH29+BI29+BK29</f>
        <v>5160</v>
      </c>
      <c r="BP29" s="43">
        <f>+C29+I29+J29+K29+L29+M29+N29+O29+P29+Q29+R29+S29+T29+U29+V29+W29+X29+Y29+Z29+AB29+AC29+AD29+AE29+AF29+AG29+AH29+AI29+AJ29+AK29+AM29+AO29+AP29+AQ29+AT29+AV29+AX29+AY29+BB29+BC29+BE29+BF29+BJ29+BL29</f>
        <v>52857</v>
      </c>
      <c r="BQ29" s="43"/>
      <c r="BR29" s="43"/>
      <c r="BS29" s="43"/>
      <c r="BT29" s="43"/>
      <c r="BU29" s="43"/>
      <c r="BV29" s="43"/>
      <c r="BW29" s="43"/>
      <c r="BX29" s="43"/>
      <c r="BY29" s="43"/>
    </row>
    <row r="30" spans="1:77" s="206" customFormat="1" ht="18" customHeight="1">
      <c r="A30" s="198"/>
      <c r="B30" s="141" t="s">
        <v>494</v>
      </c>
      <c r="C30" s="205">
        <v>10840</v>
      </c>
      <c r="D30" s="205">
        <v>3455</v>
      </c>
      <c r="E30" s="205">
        <v>452</v>
      </c>
      <c r="F30" s="205">
        <v>0</v>
      </c>
      <c r="G30" s="205">
        <v>0</v>
      </c>
      <c r="H30" s="205">
        <v>390</v>
      </c>
      <c r="I30" s="205">
        <v>2302</v>
      </c>
      <c r="J30" s="205">
        <v>10350</v>
      </c>
      <c r="K30" s="205">
        <v>4104</v>
      </c>
      <c r="L30" s="205">
        <v>3</v>
      </c>
      <c r="M30" s="205">
        <v>2526</v>
      </c>
      <c r="N30" s="205">
        <v>2583</v>
      </c>
      <c r="O30" s="205">
        <v>11354</v>
      </c>
      <c r="P30" s="205">
        <v>1927</v>
      </c>
      <c r="Q30" s="205">
        <v>1278</v>
      </c>
      <c r="R30" s="205">
        <v>3159</v>
      </c>
      <c r="S30" s="205">
        <v>1638</v>
      </c>
      <c r="T30" s="205">
        <v>5418</v>
      </c>
      <c r="U30" s="205">
        <v>5925</v>
      </c>
      <c r="V30" s="205">
        <v>5374</v>
      </c>
      <c r="W30" s="205">
        <v>195</v>
      </c>
      <c r="X30" s="205">
        <v>1248</v>
      </c>
      <c r="Y30" s="205">
        <v>688</v>
      </c>
      <c r="Z30" s="205">
        <v>7646</v>
      </c>
      <c r="AA30" s="205">
        <v>584</v>
      </c>
      <c r="AB30" s="205">
        <v>0</v>
      </c>
      <c r="AC30" s="205">
        <v>1451</v>
      </c>
      <c r="AD30" s="205">
        <v>2520</v>
      </c>
      <c r="AE30" s="205">
        <v>607</v>
      </c>
      <c r="AF30" s="205">
        <v>4346</v>
      </c>
      <c r="AG30" s="205">
        <v>3016</v>
      </c>
      <c r="AH30" s="205">
        <v>2503</v>
      </c>
      <c r="AI30" s="205"/>
      <c r="AJ30" s="205">
        <v>357</v>
      </c>
      <c r="AK30" s="205">
        <v>174</v>
      </c>
      <c r="AL30" s="205">
        <v>398</v>
      </c>
      <c r="AM30" s="205">
        <v>127</v>
      </c>
      <c r="AN30" s="205">
        <v>2167</v>
      </c>
      <c r="AO30" s="205">
        <v>573</v>
      </c>
      <c r="AP30" s="205">
        <v>981</v>
      </c>
      <c r="AQ30" s="205">
        <v>11</v>
      </c>
      <c r="AR30" s="205">
        <v>556</v>
      </c>
      <c r="AS30" s="205">
        <v>16</v>
      </c>
      <c r="AT30" s="205">
        <v>703</v>
      </c>
      <c r="AU30" s="205">
        <v>502</v>
      </c>
      <c r="AV30" s="205">
        <v>247</v>
      </c>
      <c r="AW30" s="205">
        <v>266</v>
      </c>
      <c r="AX30" s="205">
        <v>466</v>
      </c>
      <c r="AY30" s="205">
        <v>518</v>
      </c>
      <c r="AZ30" s="205">
        <v>247</v>
      </c>
      <c r="BA30" s="205">
        <v>243</v>
      </c>
      <c r="BB30" s="205">
        <v>244</v>
      </c>
      <c r="BC30" s="205">
        <v>240</v>
      </c>
      <c r="BD30" s="205">
        <v>119</v>
      </c>
      <c r="BE30" s="205">
        <v>289</v>
      </c>
      <c r="BF30" s="205">
        <v>0</v>
      </c>
      <c r="BG30" s="205">
        <v>9</v>
      </c>
      <c r="BH30" s="205">
        <v>14</v>
      </c>
      <c r="BI30" s="205">
        <v>0</v>
      </c>
      <c r="BJ30" s="205">
        <v>0</v>
      </c>
      <c r="BK30" s="205">
        <v>0</v>
      </c>
      <c r="BL30" s="205">
        <v>0</v>
      </c>
      <c r="BM30" s="205"/>
      <c r="BN30" s="205">
        <f>SUM(C30:BM30)</f>
        <v>107349</v>
      </c>
      <c r="BO30" s="43">
        <f>+D30+E30+F30+G30+H30+AA30+AL30+AN30+AR30+AS30+AU30+AW30+AZ30+BA30+BD30+BG30+BH30+BI30+BK30</f>
        <v>9418</v>
      </c>
      <c r="BP30" s="43">
        <f>+C30+I30+J30+K30+L30+M30+N30+O30+P30+Q30+R30+S30+T30+U30+V30+W30+X30+Y30+Z30+AB30+AC30+AD30+AE30+AF30+AG30+AH30+AI30+AJ30+AK30+AM30+AO30+AP30+AQ30+AT30+AV30+AX30+AY30+BB30+BC30+BE30+BF30+BJ30+BL30</f>
        <v>97931</v>
      </c>
      <c r="BQ30" s="43"/>
      <c r="BR30" s="43"/>
      <c r="BS30" s="43"/>
      <c r="BT30" s="43"/>
      <c r="BU30" s="43"/>
      <c r="BV30" s="43"/>
      <c r="BW30" s="43"/>
      <c r="BX30" s="43"/>
      <c r="BY30" s="43"/>
    </row>
    <row r="31" spans="3:64" ht="12.75">
      <c r="C31" s="211"/>
      <c r="D31" s="211"/>
      <c r="E31" s="211"/>
      <c r="F31" s="211"/>
      <c r="G31" s="211"/>
      <c r="H31" s="211"/>
      <c r="L31" s="211"/>
      <c r="N31" s="211"/>
      <c r="V31" s="211"/>
      <c r="X31" s="211"/>
      <c r="AF31" s="211"/>
      <c r="AH31" s="211"/>
      <c r="AP31" s="211"/>
      <c r="AR31" s="211"/>
      <c r="AS31" s="211"/>
      <c r="AZ31" s="211"/>
      <c r="BB31" s="211"/>
      <c r="BJ31" s="211"/>
      <c r="BL31" s="211"/>
    </row>
    <row r="32" spans="3:64" ht="12.75">
      <c r="C32" s="211"/>
      <c r="D32" s="211"/>
      <c r="E32" s="211"/>
      <c r="F32" s="211"/>
      <c r="G32" s="211"/>
      <c r="H32" s="211"/>
      <c r="L32" s="211"/>
      <c r="N32" s="211"/>
      <c r="V32" s="211"/>
      <c r="X32" s="211"/>
      <c r="AF32" s="211"/>
      <c r="AH32" s="211"/>
      <c r="AP32" s="211"/>
      <c r="AR32" s="211"/>
      <c r="AS32" s="211"/>
      <c r="AZ32" s="211"/>
      <c r="BB32" s="211"/>
      <c r="BJ32" s="211"/>
      <c r="BL32" s="211"/>
    </row>
    <row r="33" spans="3:64" ht="12.75">
      <c r="C33" s="211"/>
      <c r="D33" s="211"/>
      <c r="E33" s="211"/>
      <c r="F33" s="211"/>
      <c r="G33" s="211"/>
      <c r="H33" s="211"/>
      <c r="L33" s="211"/>
      <c r="N33" s="211"/>
      <c r="V33" s="211"/>
      <c r="X33" s="211"/>
      <c r="AF33" s="211"/>
      <c r="AH33" s="211"/>
      <c r="AP33" s="211"/>
      <c r="AR33" s="211"/>
      <c r="AS33" s="211"/>
      <c r="AZ33" s="211"/>
      <c r="BB33" s="211"/>
      <c r="BJ33" s="211"/>
      <c r="BL33" s="211"/>
    </row>
    <row r="34" spans="3:64" ht="12.75">
      <c r="C34" s="211"/>
      <c r="D34" s="211"/>
      <c r="E34" s="211"/>
      <c r="F34" s="211"/>
      <c r="G34" s="211"/>
      <c r="H34" s="211"/>
      <c r="L34" s="211"/>
      <c r="N34" s="211"/>
      <c r="V34" s="211"/>
      <c r="X34" s="211"/>
      <c r="AF34" s="211"/>
      <c r="AH34" s="211"/>
      <c r="AP34" s="211"/>
      <c r="AR34" s="211"/>
      <c r="AS34" s="211"/>
      <c r="AZ34" s="211"/>
      <c r="BB34" s="211"/>
      <c r="BJ34" s="211"/>
      <c r="BL34" s="211"/>
    </row>
    <row r="35" spans="14:64" ht="12.75">
      <c r="N35" s="211"/>
      <c r="X35" s="211"/>
      <c r="AH35" s="211"/>
      <c r="AR35" s="211"/>
      <c r="BB35" s="211"/>
      <c r="BL35" s="211"/>
    </row>
  </sheetData>
  <sheetProtection/>
  <printOptions/>
  <pageMargins left="0.7480314960629921" right="0.5511811023622047" top="0.9055118110236221" bottom="0.1968503937007874" header="0.5118110236220472" footer="0.5118110236220472"/>
  <pageSetup firstPageNumber="70" useFirstPageNumber="1" horizontalDpi="600" verticalDpi="600" orientation="landscape" paperSize="9" r:id="rId1"/>
  <headerFooter alignWithMargins="0">
    <oddHeader>&amp;C&amp;"Times New Roman,Bold"&amp;14 4.1. SUNDURLIÐUN Á FJÁRFESTINGUM 31.12.2000 Í SAMRÆMI VIÐ ÁKVÆÐI LAGA NR. 129/1997</oddHeader>
    <oddFooter>&amp;R&amp;"Times New Roman,Regular"&amp;P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CZ106"/>
  <sheetViews>
    <sheetView zoomScalePageLayoutView="0" workbookViewId="0" topLeftCell="A1">
      <pane xSplit="1" ySplit="4" topLeftCell="H7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5" sqref="H65"/>
    </sheetView>
  </sheetViews>
  <sheetFormatPr defaultColWidth="9.00390625" defaultRowHeight="12.75"/>
  <cols>
    <col min="1" max="1" width="25.75390625" style="91" customWidth="1"/>
    <col min="2" max="89" width="9.00390625" style="91" customWidth="1"/>
    <col min="90" max="93" width="9.625" style="91" customWidth="1"/>
    <col min="94" max="95" width="8.375" style="91" customWidth="1"/>
    <col min="96" max="96" width="10.50390625" style="91" customWidth="1"/>
    <col min="97" max="98" width="10.375" style="91" customWidth="1"/>
    <col min="99" max="99" width="3.25390625" style="91" customWidth="1"/>
    <col min="100" max="100" width="9.50390625" style="91" customWidth="1"/>
    <col min="101" max="101" width="2.625" style="91" customWidth="1"/>
    <col min="102" max="102" width="9.625" style="91" customWidth="1"/>
    <col min="103" max="103" width="10.00390625" style="91" customWidth="1"/>
    <col min="104" max="16384" width="9.00390625" style="91" customWidth="1"/>
  </cols>
  <sheetData>
    <row r="1" spans="1:104" ht="12.75" customHeight="1">
      <c r="A1" s="30"/>
      <c r="B1" s="88" t="s">
        <v>0</v>
      </c>
      <c r="C1" s="89" t="s">
        <v>0</v>
      </c>
      <c r="D1" s="88" t="s">
        <v>0</v>
      </c>
      <c r="E1" s="89" t="s">
        <v>0</v>
      </c>
      <c r="F1" s="89" t="s">
        <v>0</v>
      </c>
      <c r="G1" s="89" t="s">
        <v>0</v>
      </c>
      <c r="H1" s="89" t="s">
        <v>0</v>
      </c>
      <c r="I1" s="89" t="s">
        <v>0</v>
      </c>
      <c r="J1" s="88" t="s">
        <v>0</v>
      </c>
      <c r="K1" s="89" t="s">
        <v>0</v>
      </c>
      <c r="L1" s="88" t="s">
        <v>1</v>
      </c>
      <c r="M1" s="89" t="s">
        <v>1</v>
      </c>
      <c r="N1" s="89" t="s">
        <v>1</v>
      </c>
      <c r="O1" s="89" t="s">
        <v>1</v>
      </c>
      <c r="P1" s="88" t="s">
        <v>0</v>
      </c>
      <c r="Q1" s="89" t="s">
        <v>0</v>
      </c>
      <c r="R1" s="88" t="s">
        <v>0</v>
      </c>
      <c r="S1" s="89" t="s">
        <v>0</v>
      </c>
      <c r="T1" s="88" t="s">
        <v>2</v>
      </c>
      <c r="U1" s="89" t="s">
        <v>2</v>
      </c>
      <c r="V1" s="88" t="s">
        <v>0</v>
      </c>
      <c r="W1" s="89" t="s">
        <v>0</v>
      </c>
      <c r="X1" s="89" t="s">
        <v>0</v>
      </c>
      <c r="Y1" s="88" t="s">
        <v>0</v>
      </c>
      <c r="Z1" s="89" t="s">
        <v>0</v>
      </c>
      <c r="AA1" s="88" t="s">
        <v>3</v>
      </c>
      <c r="AB1" s="89" t="s">
        <v>3</v>
      </c>
      <c r="AC1" s="88" t="s">
        <v>0</v>
      </c>
      <c r="AD1" s="88" t="s">
        <v>0</v>
      </c>
      <c r="AE1" s="89" t="s">
        <v>0</v>
      </c>
      <c r="AF1" s="88" t="s">
        <v>0</v>
      </c>
      <c r="AG1" s="88" t="s">
        <v>0</v>
      </c>
      <c r="AH1" s="88" t="s">
        <v>0</v>
      </c>
      <c r="AI1" s="90" t="s">
        <v>0</v>
      </c>
      <c r="AJ1" s="89" t="s">
        <v>0</v>
      </c>
      <c r="AK1" s="88" t="s">
        <v>0</v>
      </c>
      <c r="AL1" s="89" t="s">
        <v>0</v>
      </c>
      <c r="AM1" s="88" t="s">
        <v>5</v>
      </c>
      <c r="AN1" s="89" t="s">
        <v>5</v>
      </c>
      <c r="AO1" s="88" t="s">
        <v>7</v>
      </c>
      <c r="AP1" s="89" t="s">
        <v>7</v>
      </c>
      <c r="AQ1" s="88" t="s">
        <v>0</v>
      </c>
      <c r="AR1" s="88" t="s">
        <v>0</v>
      </c>
      <c r="AS1" s="89" t="s">
        <v>0</v>
      </c>
      <c r="AT1" s="88" t="s">
        <v>303</v>
      </c>
      <c r="AU1" s="89" t="s">
        <v>303</v>
      </c>
      <c r="AV1" s="88" t="s">
        <v>6</v>
      </c>
      <c r="AW1" s="89" t="s">
        <v>6</v>
      </c>
      <c r="AX1" s="88" t="s">
        <v>0</v>
      </c>
      <c r="AY1" s="88" t="s">
        <v>0</v>
      </c>
      <c r="AZ1" s="89" t="s">
        <v>0</v>
      </c>
      <c r="BA1" s="88" t="s">
        <v>0</v>
      </c>
      <c r="BB1" s="88" t="s">
        <v>8</v>
      </c>
      <c r="BC1" s="89" t="s">
        <v>8</v>
      </c>
      <c r="BD1" s="88" t="s">
        <v>0</v>
      </c>
      <c r="BE1" s="89" t="s">
        <v>0</v>
      </c>
      <c r="BF1" s="88" t="s">
        <v>6</v>
      </c>
      <c r="BG1" s="89" t="s">
        <v>6</v>
      </c>
      <c r="BH1" s="88" t="s">
        <v>0</v>
      </c>
      <c r="BI1" s="89" t="s">
        <v>0</v>
      </c>
      <c r="BJ1" s="88" t="s">
        <v>0</v>
      </c>
      <c r="BK1" s="88" t="s">
        <v>0</v>
      </c>
      <c r="BL1" s="89" t="s">
        <v>0</v>
      </c>
      <c r="BM1" s="89" t="s">
        <v>0</v>
      </c>
      <c r="BN1" s="88" t="s">
        <v>4</v>
      </c>
      <c r="BO1" s="88" t="s">
        <v>0</v>
      </c>
      <c r="BP1" s="88" t="s">
        <v>0</v>
      </c>
      <c r="BQ1" s="88" t="s">
        <v>0</v>
      </c>
      <c r="BR1" s="88" t="s">
        <v>0</v>
      </c>
      <c r="BS1" s="89" t="s">
        <v>0</v>
      </c>
      <c r="BT1" s="89" t="s">
        <v>0</v>
      </c>
      <c r="BU1" s="89" t="s">
        <v>0</v>
      </c>
      <c r="BV1" s="88" t="s">
        <v>4</v>
      </c>
      <c r="BW1" s="88" t="s">
        <v>0</v>
      </c>
      <c r="BX1" s="88" t="s">
        <v>50</v>
      </c>
      <c r="BY1" s="89" t="s">
        <v>50</v>
      </c>
      <c r="BZ1" s="88" t="s">
        <v>4</v>
      </c>
      <c r="CA1" s="89" t="s">
        <v>4</v>
      </c>
      <c r="CB1" s="89" t="s">
        <v>4</v>
      </c>
      <c r="CC1" s="88" t="s">
        <v>0</v>
      </c>
      <c r="CD1" s="88" t="s">
        <v>0</v>
      </c>
      <c r="CE1" s="89" t="s">
        <v>0</v>
      </c>
      <c r="CF1" s="88" t="s">
        <v>0</v>
      </c>
      <c r="CG1" s="88" t="s">
        <v>0</v>
      </c>
      <c r="CH1" s="88" t="s">
        <v>4</v>
      </c>
      <c r="CI1" s="88" t="s">
        <v>4</v>
      </c>
      <c r="CJ1" s="88" t="s">
        <v>4</v>
      </c>
      <c r="CK1" s="88" t="s">
        <v>0</v>
      </c>
      <c r="CL1" s="88" t="s">
        <v>6</v>
      </c>
      <c r="CM1" s="88" t="s">
        <v>0</v>
      </c>
      <c r="CN1" s="88" t="s">
        <v>0</v>
      </c>
      <c r="CO1" s="88" t="s">
        <v>4</v>
      </c>
      <c r="CP1" s="88" t="s">
        <v>9</v>
      </c>
      <c r="CQ1" s="89" t="s">
        <v>9</v>
      </c>
      <c r="CR1" s="88" t="s">
        <v>0</v>
      </c>
      <c r="CS1" s="88" t="s">
        <v>0</v>
      </c>
      <c r="CT1" s="88"/>
      <c r="CV1" s="90" t="s">
        <v>10</v>
      </c>
      <c r="CW1" s="90"/>
      <c r="CX1" s="90" t="s">
        <v>0</v>
      </c>
      <c r="CY1" s="90" t="s">
        <v>0</v>
      </c>
      <c r="CZ1" s="90"/>
    </row>
    <row r="2" spans="1:104" ht="12.75">
      <c r="A2" s="27" t="s">
        <v>11</v>
      </c>
      <c r="B2" s="88" t="s">
        <v>12</v>
      </c>
      <c r="C2" s="89" t="s">
        <v>12</v>
      </c>
      <c r="D2" s="88" t="s">
        <v>413</v>
      </c>
      <c r="E2" s="89" t="s">
        <v>413</v>
      </c>
      <c r="F2" s="89" t="s">
        <v>413</v>
      </c>
      <c r="G2" s="89" t="s">
        <v>413</v>
      </c>
      <c r="H2" s="89" t="s">
        <v>413</v>
      </c>
      <c r="I2" s="89" t="s">
        <v>413</v>
      </c>
      <c r="J2" s="88" t="s">
        <v>16</v>
      </c>
      <c r="K2" s="89" t="s">
        <v>16</v>
      </c>
      <c r="L2" s="88" t="s">
        <v>15</v>
      </c>
      <c r="M2" s="89" t="s">
        <v>15</v>
      </c>
      <c r="N2" s="89" t="s">
        <v>15</v>
      </c>
      <c r="O2" s="89" t="s">
        <v>15</v>
      </c>
      <c r="P2" s="88" t="s">
        <v>13</v>
      </c>
      <c r="Q2" s="89" t="s">
        <v>13</v>
      </c>
      <c r="R2" s="88" t="s">
        <v>17</v>
      </c>
      <c r="S2" s="89" t="s">
        <v>17</v>
      </c>
      <c r="T2" s="88" t="s">
        <v>15</v>
      </c>
      <c r="U2" s="89" t="s">
        <v>15</v>
      </c>
      <c r="V2" s="88" t="s">
        <v>311</v>
      </c>
      <c r="W2" s="89" t="s">
        <v>311</v>
      </c>
      <c r="X2" s="89" t="s">
        <v>311</v>
      </c>
      <c r="Y2" s="88" t="s">
        <v>268</v>
      </c>
      <c r="Z2" s="89" t="s">
        <v>268</v>
      </c>
      <c r="AA2" s="88" t="s">
        <v>15</v>
      </c>
      <c r="AB2" s="89" t="s">
        <v>15</v>
      </c>
      <c r="AC2" s="88" t="s">
        <v>19</v>
      </c>
      <c r="AD2" s="88" t="s">
        <v>20</v>
      </c>
      <c r="AE2" s="89" t="s">
        <v>20</v>
      </c>
      <c r="AF2" s="88" t="s">
        <v>22</v>
      </c>
      <c r="AG2" s="88" t="s">
        <v>18</v>
      </c>
      <c r="AH2" s="88" t="s">
        <v>21</v>
      </c>
      <c r="AI2" s="90" t="s">
        <v>322</v>
      </c>
      <c r="AJ2" s="89" t="s">
        <v>322</v>
      </c>
      <c r="AK2" s="88" t="s">
        <v>23</v>
      </c>
      <c r="AL2" s="89" t="s">
        <v>23</v>
      </c>
      <c r="AM2" s="88" t="s">
        <v>15</v>
      </c>
      <c r="AN2" s="89" t="s">
        <v>15</v>
      </c>
      <c r="AO2" s="88" t="s">
        <v>30</v>
      </c>
      <c r="AP2" s="89" t="s">
        <v>30</v>
      </c>
      <c r="AQ2" s="88" t="s">
        <v>25</v>
      </c>
      <c r="AR2" s="88" t="s">
        <v>24</v>
      </c>
      <c r="AS2" s="89" t="s">
        <v>24</v>
      </c>
      <c r="AT2" s="88" t="s">
        <v>46</v>
      </c>
      <c r="AU2" s="89" t="s">
        <v>46</v>
      </c>
      <c r="AV2" s="88" t="s">
        <v>29</v>
      </c>
      <c r="AW2" s="89" t="s">
        <v>29</v>
      </c>
      <c r="AX2" s="88" t="s">
        <v>14</v>
      </c>
      <c r="AY2" s="88" t="s">
        <v>313</v>
      </c>
      <c r="AZ2" s="89" t="s">
        <v>313</v>
      </c>
      <c r="BA2" s="88" t="s">
        <v>71</v>
      </c>
      <c r="BB2" s="88" t="s">
        <v>15</v>
      </c>
      <c r="BC2" s="89" t="s">
        <v>15</v>
      </c>
      <c r="BD2" s="88" t="s">
        <v>26</v>
      </c>
      <c r="BE2" s="89" t="s">
        <v>26</v>
      </c>
      <c r="BF2" s="88" t="s">
        <v>29</v>
      </c>
      <c r="BG2" s="89" t="s">
        <v>29</v>
      </c>
      <c r="BH2" s="88" t="s">
        <v>27</v>
      </c>
      <c r="BI2" s="89" t="s">
        <v>27</v>
      </c>
      <c r="BJ2" s="88" t="s">
        <v>14</v>
      </c>
      <c r="BK2" s="88" t="s">
        <v>28</v>
      </c>
      <c r="BL2" s="89" t="s">
        <v>28</v>
      </c>
      <c r="BM2" s="89" t="s">
        <v>28</v>
      </c>
      <c r="BN2" s="88" t="s">
        <v>14</v>
      </c>
      <c r="BO2" s="88" t="s">
        <v>31</v>
      </c>
      <c r="BP2" s="88" t="s">
        <v>32</v>
      </c>
      <c r="BQ2" s="88" t="s">
        <v>33</v>
      </c>
      <c r="BR2" s="88" t="s">
        <v>14</v>
      </c>
      <c r="BS2" s="89" t="s">
        <v>14</v>
      </c>
      <c r="BT2" s="89" t="s">
        <v>14</v>
      </c>
      <c r="BU2" s="89" t="s">
        <v>14</v>
      </c>
      <c r="BV2" s="88" t="s">
        <v>34</v>
      </c>
      <c r="BW2" s="88" t="s">
        <v>36</v>
      </c>
      <c r="BX2" s="88" t="s">
        <v>15</v>
      </c>
      <c r="BY2" s="89" t="s">
        <v>15</v>
      </c>
      <c r="BZ2" s="88" t="s">
        <v>37</v>
      </c>
      <c r="CA2" s="89" t="s">
        <v>37</v>
      </c>
      <c r="CB2" s="89" t="s">
        <v>37</v>
      </c>
      <c r="CC2" s="88" t="s">
        <v>35</v>
      </c>
      <c r="CD2" s="88" t="s">
        <v>39</v>
      </c>
      <c r="CE2" s="89" t="s">
        <v>39</v>
      </c>
      <c r="CF2" s="88" t="s">
        <v>38</v>
      </c>
      <c r="CG2" s="88" t="s">
        <v>41</v>
      </c>
      <c r="CH2" s="88" t="s">
        <v>40</v>
      </c>
      <c r="CI2" s="88" t="s">
        <v>42</v>
      </c>
      <c r="CJ2" s="88" t="s">
        <v>298</v>
      </c>
      <c r="CK2" s="88" t="s">
        <v>14</v>
      </c>
      <c r="CL2" s="88" t="s">
        <v>29</v>
      </c>
      <c r="CM2" s="88" t="s">
        <v>43</v>
      </c>
      <c r="CN2" s="88" t="s">
        <v>45</v>
      </c>
      <c r="CO2" s="88" t="s">
        <v>44</v>
      </c>
      <c r="CP2" s="88" t="s">
        <v>46</v>
      </c>
      <c r="CQ2" s="89" t="s">
        <v>46</v>
      </c>
      <c r="CR2" s="88" t="s">
        <v>47</v>
      </c>
      <c r="CS2" s="88" t="s">
        <v>48</v>
      </c>
      <c r="CT2" s="88"/>
      <c r="CV2" s="90" t="s">
        <v>49</v>
      </c>
      <c r="CW2" s="90"/>
      <c r="CX2" s="90" t="s">
        <v>310</v>
      </c>
      <c r="CY2" s="90" t="s">
        <v>349</v>
      </c>
      <c r="CZ2" s="90"/>
    </row>
    <row r="3" spans="1:104" ht="12.75">
      <c r="A3" s="30"/>
      <c r="B3" s="88" t="s">
        <v>51</v>
      </c>
      <c r="C3" s="89" t="s">
        <v>51</v>
      </c>
      <c r="D3" s="88" t="s">
        <v>424</v>
      </c>
      <c r="E3" s="92" t="s">
        <v>135</v>
      </c>
      <c r="F3" s="92" t="s">
        <v>135</v>
      </c>
      <c r="G3" s="93" t="s">
        <v>416</v>
      </c>
      <c r="H3" s="93" t="s">
        <v>418</v>
      </c>
      <c r="I3" s="93" t="s">
        <v>436</v>
      </c>
      <c r="J3" s="88" t="s">
        <v>135</v>
      </c>
      <c r="K3" s="93" t="s">
        <v>436</v>
      </c>
      <c r="L3" s="88" t="s">
        <v>29</v>
      </c>
      <c r="M3" s="89" t="s">
        <v>29</v>
      </c>
      <c r="N3" s="89" t="s">
        <v>29</v>
      </c>
      <c r="O3" s="89" t="s">
        <v>29</v>
      </c>
      <c r="P3" s="88" t="s">
        <v>135</v>
      </c>
      <c r="Q3" s="93" t="s">
        <v>436</v>
      </c>
      <c r="R3" s="88" t="s">
        <v>53</v>
      </c>
      <c r="S3" s="89" t="s">
        <v>53</v>
      </c>
      <c r="T3" s="88" t="s">
        <v>52</v>
      </c>
      <c r="U3" s="89" t="s">
        <v>52</v>
      </c>
      <c r="V3" s="88" t="s">
        <v>66</v>
      </c>
      <c r="W3" s="89" t="s">
        <v>66</v>
      </c>
      <c r="X3" s="89" t="s">
        <v>66</v>
      </c>
      <c r="Y3" s="88" t="s">
        <v>135</v>
      </c>
      <c r="Z3" s="93" t="s">
        <v>436</v>
      </c>
      <c r="AA3" s="88" t="s">
        <v>29</v>
      </c>
      <c r="AB3" s="89" t="s">
        <v>29</v>
      </c>
      <c r="AC3" s="88" t="s">
        <v>53</v>
      </c>
      <c r="AD3" s="88" t="s">
        <v>54</v>
      </c>
      <c r="AE3" s="89" t="s">
        <v>54</v>
      </c>
      <c r="AF3" s="88" t="s">
        <v>135</v>
      </c>
      <c r="AG3" s="88" t="s">
        <v>135</v>
      </c>
      <c r="AH3" s="88" t="s">
        <v>55</v>
      </c>
      <c r="AI3" s="90" t="s">
        <v>321</v>
      </c>
      <c r="AJ3" s="89" t="s">
        <v>321</v>
      </c>
      <c r="AK3" s="88" t="s">
        <v>300</v>
      </c>
      <c r="AL3" s="89" t="s">
        <v>300</v>
      </c>
      <c r="AM3" s="88" t="s">
        <v>29</v>
      </c>
      <c r="AN3" s="89" t="s">
        <v>29</v>
      </c>
      <c r="AO3" s="88" t="s">
        <v>62</v>
      </c>
      <c r="AP3" s="89" t="s">
        <v>62</v>
      </c>
      <c r="AQ3" s="88" t="s">
        <v>203</v>
      </c>
      <c r="AR3" s="88" t="s">
        <v>53</v>
      </c>
      <c r="AS3" s="89" t="s">
        <v>53</v>
      </c>
      <c r="AT3" s="88" t="s">
        <v>304</v>
      </c>
      <c r="AU3" s="89" t="s">
        <v>304</v>
      </c>
      <c r="AV3" s="88" t="s">
        <v>77</v>
      </c>
      <c r="AW3" s="89" t="s">
        <v>77</v>
      </c>
      <c r="AX3" s="88" t="s">
        <v>323</v>
      </c>
      <c r="AY3" s="88" t="s">
        <v>314</v>
      </c>
      <c r="AZ3" s="89" t="s">
        <v>314</v>
      </c>
      <c r="BA3" s="88"/>
      <c r="BB3" s="88" t="s">
        <v>73</v>
      </c>
      <c r="BC3" s="89" t="s">
        <v>73</v>
      </c>
      <c r="BD3" s="88" t="s">
        <v>57</v>
      </c>
      <c r="BE3" s="89" t="s">
        <v>57</v>
      </c>
      <c r="BF3" s="88" t="s">
        <v>61</v>
      </c>
      <c r="BG3" s="89" t="s">
        <v>61</v>
      </c>
      <c r="BH3" s="88"/>
      <c r="BI3" s="93" t="s">
        <v>436</v>
      </c>
      <c r="BJ3" s="88" t="s">
        <v>58</v>
      </c>
      <c r="BK3" s="88" t="s">
        <v>59</v>
      </c>
      <c r="BL3" s="89" t="s">
        <v>59</v>
      </c>
      <c r="BM3" s="89" t="s">
        <v>59</v>
      </c>
      <c r="BN3" s="88" t="s">
        <v>60</v>
      </c>
      <c r="BO3" s="88" t="s">
        <v>63</v>
      </c>
      <c r="BP3" s="88" t="s">
        <v>64</v>
      </c>
      <c r="BQ3" s="88"/>
      <c r="BR3" s="88" t="s">
        <v>315</v>
      </c>
      <c r="BS3" s="89" t="s">
        <v>315</v>
      </c>
      <c r="BT3" s="89" t="s">
        <v>315</v>
      </c>
      <c r="BU3" s="89" t="s">
        <v>315</v>
      </c>
      <c r="BV3" s="88" t="s">
        <v>65</v>
      </c>
      <c r="BW3" s="88" t="s">
        <v>68</v>
      </c>
      <c r="BX3" s="88" t="s">
        <v>29</v>
      </c>
      <c r="BY3" s="89" t="s">
        <v>29</v>
      </c>
      <c r="BZ3" s="88" t="s">
        <v>318</v>
      </c>
      <c r="CA3" s="89" t="s">
        <v>318</v>
      </c>
      <c r="CB3" s="89" t="s">
        <v>318</v>
      </c>
      <c r="CC3" s="88" t="s">
        <v>67</v>
      </c>
      <c r="CD3" s="88" t="s">
        <v>56</v>
      </c>
      <c r="CE3" s="89" t="s">
        <v>56</v>
      </c>
      <c r="CF3" s="88" t="s">
        <v>70</v>
      </c>
      <c r="CG3" s="88" t="s">
        <v>69</v>
      </c>
      <c r="CH3" s="88" t="s">
        <v>71</v>
      </c>
      <c r="CI3" s="88" t="s">
        <v>72</v>
      </c>
      <c r="CJ3" s="88" t="s">
        <v>76</v>
      </c>
      <c r="CK3" s="88" t="s">
        <v>74</v>
      </c>
      <c r="CL3" s="88" t="s">
        <v>75</v>
      </c>
      <c r="CM3" s="88" t="s">
        <v>78</v>
      </c>
      <c r="CN3" s="88" t="s">
        <v>80</v>
      </c>
      <c r="CO3" s="88" t="s">
        <v>79</v>
      </c>
      <c r="CP3" s="88" t="s">
        <v>81</v>
      </c>
      <c r="CQ3" s="89" t="s">
        <v>81</v>
      </c>
      <c r="CR3" s="88" t="s">
        <v>82</v>
      </c>
      <c r="CS3" s="88" t="s">
        <v>83</v>
      </c>
      <c r="CT3" s="88"/>
      <c r="CV3" s="90" t="s">
        <v>84</v>
      </c>
      <c r="CW3" s="90"/>
      <c r="CX3" s="90" t="s">
        <v>309</v>
      </c>
      <c r="CY3" s="90" t="s">
        <v>309</v>
      </c>
      <c r="CZ3" s="90"/>
    </row>
    <row r="4" spans="1:104" ht="12.75">
      <c r="A4" s="94"/>
      <c r="B4" s="95" t="s">
        <v>85</v>
      </c>
      <c r="C4" s="96" t="s">
        <v>436</v>
      </c>
      <c r="D4" s="95" t="s">
        <v>86</v>
      </c>
      <c r="E4" s="93" t="s">
        <v>414</v>
      </c>
      <c r="F4" s="93" t="s">
        <v>415</v>
      </c>
      <c r="G4" s="93" t="s">
        <v>417</v>
      </c>
      <c r="H4" s="93" t="s">
        <v>419</v>
      </c>
      <c r="I4" s="93" t="s">
        <v>419</v>
      </c>
      <c r="J4" s="95" t="s">
        <v>87</v>
      </c>
      <c r="K4" s="93" t="s">
        <v>419</v>
      </c>
      <c r="L4" s="95" t="s">
        <v>88</v>
      </c>
      <c r="M4" s="96" t="s">
        <v>426</v>
      </c>
      <c r="N4" s="96" t="s">
        <v>438</v>
      </c>
      <c r="O4" s="96" t="s">
        <v>436</v>
      </c>
      <c r="P4" s="95" t="s">
        <v>89</v>
      </c>
      <c r="Q4" s="93" t="s">
        <v>419</v>
      </c>
      <c r="R4" s="95" t="s">
        <v>90</v>
      </c>
      <c r="S4" s="96" t="s">
        <v>436</v>
      </c>
      <c r="T4" s="95" t="s">
        <v>91</v>
      </c>
      <c r="U4" s="96" t="s">
        <v>436</v>
      </c>
      <c r="V4" s="95" t="s">
        <v>92</v>
      </c>
      <c r="W4" s="96" t="s">
        <v>383</v>
      </c>
      <c r="X4" s="96" t="s">
        <v>442</v>
      </c>
      <c r="Y4" s="95" t="s">
        <v>199</v>
      </c>
      <c r="Z4" s="93" t="s">
        <v>419</v>
      </c>
      <c r="AA4" s="95" t="s">
        <v>200</v>
      </c>
      <c r="AB4" s="93" t="s">
        <v>436</v>
      </c>
      <c r="AC4" s="95" t="s">
        <v>201</v>
      </c>
      <c r="AD4" s="95" t="s">
        <v>93</v>
      </c>
      <c r="AE4" s="96" t="s">
        <v>436</v>
      </c>
      <c r="AF4" s="95" t="s">
        <v>94</v>
      </c>
      <c r="AG4" s="95" t="s">
        <v>95</v>
      </c>
      <c r="AH4" s="95" t="s">
        <v>96</v>
      </c>
      <c r="AI4" s="95" t="s">
        <v>97</v>
      </c>
      <c r="AJ4" s="96" t="s">
        <v>436</v>
      </c>
      <c r="AK4" s="95" t="s">
        <v>98</v>
      </c>
      <c r="AL4" s="96" t="s">
        <v>436</v>
      </c>
      <c r="AM4" s="95" t="s">
        <v>99</v>
      </c>
      <c r="AN4" s="96" t="s">
        <v>436</v>
      </c>
      <c r="AO4" s="95" t="s">
        <v>100</v>
      </c>
      <c r="AP4" s="96" t="s">
        <v>436</v>
      </c>
      <c r="AQ4" s="95" t="s">
        <v>101</v>
      </c>
      <c r="AR4" s="95" t="s">
        <v>102</v>
      </c>
      <c r="AS4" s="96" t="s">
        <v>436</v>
      </c>
      <c r="AT4" s="95" t="s">
        <v>103</v>
      </c>
      <c r="AU4" s="96" t="s">
        <v>436</v>
      </c>
      <c r="AV4" s="95" t="s">
        <v>104</v>
      </c>
      <c r="AW4" s="96" t="s">
        <v>436</v>
      </c>
      <c r="AX4" s="95" t="s">
        <v>105</v>
      </c>
      <c r="AY4" s="95" t="s">
        <v>106</v>
      </c>
      <c r="AZ4" s="96" t="s">
        <v>436</v>
      </c>
      <c r="BA4" s="95" t="s">
        <v>361</v>
      </c>
      <c r="BB4" s="95" t="s">
        <v>107</v>
      </c>
      <c r="BC4" s="96" t="s">
        <v>436</v>
      </c>
      <c r="BD4" s="95" t="s">
        <v>108</v>
      </c>
      <c r="BE4" s="96" t="s">
        <v>436</v>
      </c>
      <c r="BF4" s="95" t="s">
        <v>109</v>
      </c>
      <c r="BG4" s="96" t="s">
        <v>436</v>
      </c>
      <c r="BH4" s="95" t="s">
        <v>110</v>
      </c>
      <c r="BI4" s="93" t="s">
        <v>419</v>
      </c>
      <c r="BJ4" s="95" t="s">
        <v>111</v>
      </c>
      <c r="BK4" s="95" t="s">
        <v>112</v>
      </c>
      <c r="BL4" s="96" t="s">
        <v>445</v>
      </c>
      <c r="BM4" s="96" t="s">
        <v>446</v>
      </c>
      <c r="BN4" s="95" t="s">
        <v>113</v>
      </c>
      <c r="BO4" s="95" t="s">
        <v>114</v>
      </c>
      <c r="BP4" s="95" t="s">
        <v>115</v>
      </c>
      <c r="BQ4" s="95" t="s">
        <v>116</v>
      </c>
      <c r="BR4" s="95" t="s">
        <v>430</v>
      </c>
      <c r="BS4" s="96" t="s">
        <v>415</v>
      </c>
      <c r="BT4" s="96" t="s">
        <v>441</v>
      </c>
      <c r="BU4" s="96" t="s">
        <v>436</v>
      </c>
      <c r="BV4" s="95" t="s">
        <v>117</v>
      </c>
      <c r="BW4" s="95" t="s">
        <v>118</v>
      </c>
      <c r="BX4" s="95" t="s">
        <v>119</v>
      </c>
      <c r="BY4" s="96" t="s">
        <v>436</v>
      </c>
      <c r="BZ4" s="95" t="s">
        <v>120</v>
      </c>
      <c r="CA4" s="96" t="s">
        <v>415</v>
      </c>
      <c r="CB4" s="96" t="s">
        <v>414</v>
      </c>
      <c r="CC4" s="95" t="s">
        <v>121</v>
      </c>
      <c r="CD4" s="95" t="s">
        <v>122</v>
      </c>
      <c r="CE4" s="96" t="s">
        <v>436</v>
      </c>
      <c r="CF4" s="95" t="s">
        <v>123</v>
      </c>
      <c r="CG4" s="95" t="s">
        <v>431</v>
      </c>
      <c r="CH4" s="95" t="s">
        <v>124</v>
      </c>
      <c r="CI4" s="95" t="s">
        <v>125</v>
      </c>
      <c r="CJ4" s="95" t="s">
        <v>126</v>
      </c>
      <c r="CK4" s="95" t="s">
        <v>127</v>
      </c>
      <c r="CL4" s="95" t="s">
        <v>128</v>
      </c>
      <c r="CM4" s="95" t="s">
        <v>129</v>
      </c>
      <c r="CN4" s="95" t="s">
        <v>130</v>
      </c>
      <c r="CO4" s="95" t="s">
        <v>205</v>
      </c>
      <c r="CP4" s="95" t="s">
        <v>432</v>
      </c>
      <c r="CQ4" s="96" t="s">
        <v>436</v>
      </c>
      <c r="CR4" s="95" t="s">
        <v>131</v>
      </c>
      <c r="CS4" s="95" t="s">
        <v>132</v>
      </c>
      <c r="CT4" s="95"/>
      <c r="CV4" s="97"/>
      <c r="CW4" s="97"/>
      <c r="CX4" s="97" t="s">
        <v>378</v>
      </c>
      <c r="CY4" s="97" t="s">
        <v>443</v>
      </c>
      <c r="CZ4" s="97"/>
    </row>
    <row r="5" spans="1:103" s="206" customFormat="1" ht="12.75" hidden="1">
      <c r="A5" s="212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7"/>
      <c r="CS5" s="217"/>
      <c r="CT5" s="217"/>
      <c r="CU5" s="217"/>
      <c r="CV5" s="30">
        <f>+B5+D5+J5+L5+P5+R5+T5+V5+Y5+AA5+AC5+AD5+AF5+AG5+AH5+AI5+AK5+AM5+AO5+AQ5+AR5+AT5+AV5+AX5+AY5+BA5+BB5+BD5+BF5+BH5+BJ5+BK5+BN5+BO5+BP5+BQ5+BR5+BV5+BW5+BX5+BZ5+CC5+CD5+CF5+CG5+CH5+CI5+CJ5+CK5+CL5+CM5+CN5+CO5+CP5+CR5+CS5</f>
        <v>0</v>
      </c>
      <c r="CW5" s="30"/>
      <c r="CX5" s="30">
        <f>+D5+AQ5+BJ5+BN5+BR5+BW5+BZ5+CF5+CG5+CJ5+CM5+CN5+CO5+CR5</f>
        <v>0</v>
      </c>
      <c r="CY5" s="30">
        <f>+B5+J5+L5+P5+R5+T5+V5+Y5+AA5+AC5+AD5+AF5+AG5+AH5+AI5+AK5+AM5+AO5+AR5+AT5+AV5+AX5+AY5+BA5+BB5+BD5+BF5+BH5+BK5+BO5+BP5+BQ5+BV5+BX5+CC5+CD5+CH5+CI5+CK5+CL5+CP5+CS5</f>
        <v>0</v>
      </c>
    </row>
    <row r="6" spans="1:103" s="206" customFormat="1" ht="12.75" hidden="1">
      <c r="A6" s="212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7"/>
      <c r="CS6" s="217"/>
      <c r="CT6" s="217"/>
      <c r="CU6" s="217"/>
      <c r="CV6" s="30">
        <f aca="true" t="shared" si="0" ref="CV6:CV60">+B6+D6+J6+L6+P6+R6+T6+V6+Y6+AA6+AC6+AD6+AF6+AG6+AH6+AI6+AK6+AM6+AO6+AQ6+AR6+AT6+AV6+AX6+AY6+BA6+BB6+BD6+BF6+BH6+BJ6+BK6+BN6+BO6+BP6+BQ6+BR6+BV6+BW6+BX6+BZ6+CC6+CD6+CF6+CG6+CH6+CI6+CJ6+CK6+CL6+CM6+CN6+CO6+CP6+CR6+CS6</f>
        <v>0</v>
      </c>
      <c r="CW6" s="30"/>
      <c r="CX6" s="30">
        <f aca="true" t="shared" si="1" ref="CX6:CX60">+D6+AQ6+BJ6+BN6+BR6+BW6+BZ6+CF6+CG6+CJ6+CM6+CN6+CO6+CR6</f>
        <v>0</v>
      </c>
      <c r="CY6" s="30">
        <f aca="true" t="shared" si="2" ref="CY6:CY60">+B6+J6+L6+P6+R6+T6+V6+Y6+AA6+AC6+AD6+AF6+AG6+AH6+AI6+AK6+AM6+AO6+AR6+AT6+AV6+AX6+AY6+BA6+BB6+BD6+BF6+BH6+BK6+BO6+BP6+BQ6+BV6+BX6+CC6+CD6+CH6+CI6+CK6+CL6+CP6+CS6</f>
        <v>0</v>
      </c>
    </row>
    <row r="7" spans="1:103" s="206" customFormat="1" ht="12.75" hidden="1">
      <c r="A7" s="212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7"/>
      <c r="CS7" s="217"/>
      <c r="CT7" s="217"/>
      <c r="CU7" s="217"/>
      <c r="CV7" s="30">
        <f t="shared" si="0"/>
        <v>0</v>
      </c>
      <c r="CW7" s="30"/>
      <c r="CX7" s="30">
        <f t="shared" si="1"/>
        <v>0</v>
      </c>
      <c r="CY7" s="30">
        <f t="shared" si="2"/>
        <v>0</v>
      </c>
    </row>
    <row r="8" spans="1:103" s="206" customFormat="1" ht="12.75" hidden="1">
      <c r="A8" s="218"/>
      <c r="B8" s="216"/>
      <c r="C8" s="216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0"/>
      <c r="CQ8" s="216"/>
      <c r="CR8" s="217"/>
      <c r="CS8" s="217"/>
      <c r="CT8" s="217"/>
      <c r="CU8" s="217"/>
      <c r="CV8" s="30">
        <f t="shared" si="0"/>
        <v>0</v>
      </c>
      <c r="CW8" s="30"/>
      <c r="CX8" s="30">
        <f t="shared" si="1"/>
        <v>0</v>
      </c>
      <c r="CY8" s="30">
        <f t="shared" si="2"/>
        <v>0</v>
      </c>
    </row>
    <row r="9" spans="1:103" s="206" customFormat="1" ht="12.75" hidden="1">
      <c r="A9" s="212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7"/>
      <c r="CS9" s="217"/>
      <c r="CT9" s="217"/>
      <c r="CU9" s="217"/>
      <c r="CV9" s="30">
        <f t="shared" si="0"/>
        <v>0</v>
      </c>
      <c r="CW9" s="30"/>
      <c r="CX9" s="30">
        <f t="shared" si="1"/>
        <v>0</v>
      </c>
      <c r="CY9" s="30">
        <f t="shared" si="2"/>
        <v>0</v>
      </c>
    </row>
    <row r="10" spans="1:103" s="206" customFormat="1" ht="12.75" hidden="1">
      <c r="A10" s="212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7"/>
      <c r="CS10" s="217"/>
      <c r="CT10" s="217"/>
      <c r="CU10" s="217"/>
      <c r="CV10" s="30">
        <f t="shared" si="0"/>
        <v>0</v>
      </c>
      <c r="CW10" s="30"/>
      <c r="CX10" s="30">
        <f t="shared" si="1"/>
        <v>0</v>
      </c>
      <c r="CY10" s="30">
        <f t="shared" si="2"/>
        <v>0</v>
      </c>
    </row>
    <row r="11" spans="1:103" s="206" customFormat="1" ht="12.75" hidden="1">
      <c r="A11" s="212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7"/>
      <c r="CS11" s="217"/>
      <c r="CT11" s="217"/>
      <c r="CU11" s="217"/>
      <c r="CV11" s="30">
        <f t="shared" si="0"/>
        <v>0</v>
      </c>
      <c r="CW11" s="30"/>
      <c r="CX11" s="30">
        <f t="shared" si="1"/>
        <v>0</v>
      </c>
      <c r="CY11" s="30">
        <f t="shared" si="2"/>
        <v>0</v>
      </c>
    </row>
    <row r="12" spans="1:103" s="206" customFormat="1" ht="12.75" hidden="1">
      <c r="A12" s="212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7"/>
      <c r="CS12" s="217"/>
      <c r="CT12" s="217"/>
      <c r="CU12" s="217"/>
      <c r="CV12" s="30">
        <f t="shared" si="0"/>
        <v>0</v>
      </c>
      <c r="CW12" s="30"/>
      <c r="CX12" s="30">
        <f t="shared" si="1"/>
        <v>0</v>
      </c>
      <c r="CY12" s="30">
        <f t="shared" si="2"/>
        <v>0</v>
      </c>
    </row>
    <row r="13" spans="1:103" s="206" customFormat="1" ht="12.75" hidden="1">
      <c r="A13" s="212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7"/>
      <c r="CS13" s="217"/>
      <c r="CT13" s="217"/>
      <c r="CU13" s="217"/>
      <c r="CV13" s="30">
        <f t="shared" si="0"/>
        <v>0</v>
      </c>
      <c r="CW13" s="30"/>
      <c r="CX13" s="30">
        <f t="shared" si="1"/>
        <v>0</v>
      </c>
      <c r="CY13" s="30">
        <f t="shared" si="2"/>
        <v>0</v>
      </c>
    </row>
    <row r="14" spans="1:103" s="206" customFormat="1" ht="12.75" hidden="1">
      <c r="A14" s="212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7"/>
      <c r="CS14" s="217"/>
      <c r="CT14" s="217"/>
      <c r="CU14" s="217"/>
      <c r="CV14" s="30">
        <f t="shared" si="0"/>
        <v>0</v>
      </c>
      <c r="CW14" s="30"/>
      <c r="CX14" s="30">
        <f t="shared" si="1"/>
        <v>0</v>
      </c>
      <c r="CY14" s="30">
        <f t="shared" si="2"/>
        <v>0</v>
      </c>
    </row>
    <row r="15" spans="1:103" s="206" customFormat="1" ht="12.75" hidden="1">
      <c r="A15" s="218"/>
      <c r="B15" s="221"/>
      <c r="C15" s="221"/>
      <c r="D15" s="219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30">
        <f t="shared" si="0"/>
        <v>0</v>
      </c>
      <c r="CW15" s="30"/>
      <c r="CX15" s="30">
        <f t="shared" si="1"/>
        <v>0</v>
      </c>
      <c r="CY15" s="30">
        <f t="shared" si="2"/>
        <v>0</v>
      </c>
    </row>
    <row r="16" spans="1:103" s="206" customFormat="1" ht="12.75" hidden="1">
      <c r="A16" s="212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16"/>
      <c r="CO16" s="216"/>
      <c r="CP16" s="216"/>
      <c r="CQ16" s="216"/>
      <c r="CR16" s="217"/>
      <c r="CS16" s="217"/>
      <c r="CT16" s="217"/>
      <c r="CU16" s="217"/>
      <c r="CV16" s="30">
        <f t="shared" si="0"/>
        <v>0</v>
      </c>
      <c r="CW16" s="30"/>
      <c r="CX16" s="30">
        <f t="shared" si="1"/>
        <v>0</v>
      </c>
      <c r="CY16" s="30">
        <f t="shared" si="2"/>
        <v>0</v>
      </c>
    </row>
    <row r="17" spans="1:103" s="206" customFormat="1" ht="12.75" hidden="1">
      <c r="A17" s="212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7"/>
      <c r="CS17" s="217"/>
      <c r="CT17" s="217"/>
      <c r="CU17" s="217"/>
      <c r="CV17" s="30">
        <f t="shared" si="0"/>
        <v>0</v>
      </c>
      <c r="CW17" s="30"/>
      <c r="CX17" s="30">
        <f t="shared" si="1"/>
        <v>0</v>
      </c>
      <c r="CY17" s="30">
        <f t="shared" si="2"/>
        <v>0</v>
      </c>
    </row>
    <row r="18" spans="1:103" s="206" customFormat="1" ht="12.75" hidden="1">
      <c r="A18" s="212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6"/>
      <c r="CM18" s="216"/>
      <c r="CN18" s="216"/>
      <c r="CO18" s="216"/>
      <c r="CP18" s="216"/>
      <c r="CQ18" s="216"/>
      <c r="CR18" s="217"/>
      <c r="CS18" s="217"/>
      <c r="CT18" s="217"/>
      <c r="CU18" s="217"/>
      <c r="CV18" s="30">
        <f t="shared" si="0"/>
        <v>0</v>
      </c>
      <c r="CW18" s="30"/>
      <c r="CX18" s="30">
        <f t="shared" si="1"/>
        <v>0</v>
      </c>
      <c r="CY18" s="30">
        <f t="shared" si="2"/>
        <v>0</v>
      </c>
    </row>
    <row r="19" spans="1:103" s="206" customFormat="1" ht="12.75" hidden="1">
      <c r="A19" s="212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7"/>
      <c r="CS19" s="217"/>
      <c r="CT19" s="217"/>
      <c r="CU19" s="217"/>
      <c r="CV19" s="30">
        <f t="shared" si="0"/>
        <v>0</v>
      </c>
      <c r="CW19" s="30"/>
      <c r="CX19" s="30">
        <f t="shared" si="1"/>
        <v>0</v>
      </c>
      <c r="CY19" s="30">
        <f t="shared" si="2"/>
        <v>0</v>
      </c>
    </row>
    <row r="20" spans="1:103" s="206" customFormat="1" ht="12.75" hidden="1">
      <c r="A20" s="218"/>
      <c r="B20" s="221"/>
      <c r="C20" s="221"/>
      <c r="D20" s="219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30">
        <f t="shared" si="0"/>
        <v>0</v>
      </c>
      <c r="CW20" s="30"/>
      <c r="CX20" s="30">
        <f t="shared" si="1"/>
        <v>0</v>
      </c>
      <c r="CY20" s="30">
        <f t="shared" si="2"/>
        <v>0</v>
      </c>
    </row>
    <row r="21" spans="1:103" s="206" customFormat="1" ht="12.75" hidden="1">
      <c r="A21" s="212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7"/>
      <c r="CS21" s="217"/>
      <c r="CT21" s="217"/>
      <c r="CU21" s="217"/>
      <c r="CV21" s="30">
        <f t="shared" si="0"/>
        <v>0</v>
      </c>
      <c r="CW21" s="30"/>
      <c r="CX21" s="30">
        <f t="shared" si="1"/>
        <v>0</v>
      </c>
      <c r="CY21" s="30">
        <f t="shared" si="2"/>
        <v>0</v>
      </c>
    </row>
    <row r="22" spans="1:103" s="206" customFormat="1" ht="12.75" hidden="1">
      <c r="A22" s="212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  <c r="BZ22" s="216"/>
      <c r="CA22" s="216"/>
      <c r="CB22" s="216"/>
      <c r="CC22" s="216"/>
      <c r="CD22" s="216"/>
      <c r="CE22" s="216"/>
      <c r="CF22" s="216"/>
      <c r="CG22" s="216"/>
      <c r="CH22" s="216"/>
      <c r="CI22" s="216"/>
      <c r="CJ22" s="216"/>
      <c r="CK22" s="216"/>
      <c r="CL22" s="216"/>
      <c r="CM22" s="216"/>
      <c r="CN22" s="216"/>
      <c r="CO22" s="216"/>
      <c r="CP22" s="216"/>
      <c r="CQ22" s="216"/>
      <c r="CR22" s="217"/>
      <c r="CS22" s="217"/>
      <c r="CT22" s="217"/>
      <c r="CU22" s="217"/>
      <c r="CV22" s="30">
        <f t="shared" si="0"/>
        <v>0</v>
      </c>
      <c r="CW22" s="30"/>
      <c r="CX22" s="30">
        <f t="shared" si="1"/>
        <v>0</v>
      </c>
      <c r="CY22" s="30">
        <f t="shared" si="2"/>
        <v>0</v>
      </c>
    </row>
    <row r="23" spans="1:103" s="206" customFormat="1" ht="12.75" hidden="1">
      <c r="A23" s="212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6"/>
      <c r="CL23" s="216"/>
      <c r="CM23" s="216"/>
      <c r="CN23" s="216"/>
      <c r="CO23" s="216"/>
      <c r="CP23" s="216"/>
      <c r="CQ23" s="216"/>
      <c r="CR23" s="217"/>
      <c r="CS23" s="217"/>
      <c r="CT23" s="217"/>
      <c r="CU23" s="217"/>
      <c r="CV23" s="30">
        <f t="shared" si="0"/>
        <v>0</v>
      </c>
      <c r="CW23" s="30"/>
      <c r="CX23" s="30">
        <f t="shared" si="1"/>
        <v>0</v>
      </c>
      <c r="CY23" s="30">
        <f t="shared" si="2"/>
        <v>0</v>
      </c>
    </row>
    <row r="24" spans="1:103" s="206" customFormat="1" ht="12.75" hidden="1">
      <c r="A24" s="212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  <c r="BZ24" s="216"/>
      <c r="CA24" s="216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7"/>
      <c r="CS24" s="217"/>
      <c r="CT24" s="217"/>
      <c r="CU24" s="217"/>
      <c r="CV24" s="30">
        <f t="shared" si="0"/>
        <v>0</v>
      </c>
      <c r="CW24" s="30"/>
      <c r="CX24" s="30">
        <f t="shared" si="1"/>
        <v>0</v>
      </c>
      <c r="CY24" s="30">
        <f t="shared" si="2"/>
        <v>0</v>
      </c>
    </row>
    <row r="25" spans="100:103" s="206" customFormat="1" ht="12.75" hidden="1">
      <c r="CV25" s="30">
        <f t="shared" si="0"/>
        <v>0</v>
      </c>
      <c r="CW25" s="30"/>
      <c r="CX25" s="30">
        <f t="shared" si="1"/>
        <v>0</v>
      </c>
      <c r="CY25" s="30">
        <f t="shared" si="2"/>
        <v>0</v>
      </c>
    </row>
    <row r="26" spans="4:103" s="206" customFormat="1" ht="12.75" hidden="1">
      <c r="D26" s="219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30">
        <f t="shared" si="0"/>
        <v>0</v>
      </c>
      <c r="CW26" s="30"/>
      <c r="CX26" s="30">
        <f t="shared" si="1"/>
        <v>0</v>
      </c>
      <c r="CY26" s="30">
        <f t="shared" si="2"/>
        <v>0</v>
      </c>
    </row>
    <row r="27" spans="4:103" s="206" customFormat="1" ht="12.75" hidden="1">
      <c r="D27" s="219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30">
        <f t="shared" si="0"/>
        <v>0</v>
      </c>
      <c r="CW27" s="30"/>
      <c r="CX27" s="30">
        <f t="shared" si="1"/>
        <v>0</v>
      </c>
      <c r="CY27" s="30">
        <f t="shared" si="2"/>
        <v>0</v>
      </c>
    </row>
    <row r="28" spans="1:103" s="206" customFormat="1" ht="12.75" hidden="1">
      <c r="A28" s="218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7"/>
      <c r="CS28" s="217"/>
      <c r="CT28" s="217"/>
      <c r="CU28" s="217"/>
      <c r="CV28" s="30">
        <f t="shared" si="0"/>
        <v>0</v>
      </c>
      <c r="CW28" s="30"/>
      <c r="CX28" s="30">
        <f t="shared" si="1"/>
        <v>0</v>
      </c>
      <c r="CY28" s="30">
        <f t="shared" si="2"/>
        <v>0</v>
      </c>
    </row>
    <row r="29" spans="1:103" s="206" customFormat="1" ht="12.75" hidden="1">
      <c r="A29" s="218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7"/>
      <c r="CS29" s="217"/>
      <c r="CT29" s="217"/>
      <c r="CU29" s="217"/>
      <c r="CV29" s="30">
        <f t="shared" si="0"/>
        <v>0</v>
      </c>
      <c r="CW29" s="30"/>
      <c r="CX29" s="30">
        <f t="shared" si="1"/>
        <v>0</v>
      </c>
      <c r="CY29" s="30">
        <f t="shared" si="2"/>
        <v>0</v>
      </c>
    </row>
    <row r="30" spans="100:103" s="206" customFormat="1" ht="12.75" hidden="1">
      <c r="CV30" s="30">
        <f t="shared" si="0"/>
        <v>0</v>
      </c>
      <c r="CW30" s="30"/>
      <c r="CX30" s="30">
        <f t="shared" si="1"/>
        <v>0</v>
      </c>
      <c r="CY30" s="30">
        <f t="shared" si="2"/>
        <v>0</v>
      </c>
    </row>
    <row r="31" spans="100:103" s="206" customFormat="1" ht="12.75" hidden="1">
      <c r="CV31" s="30">
        <f t="shared" si="0"/>
        <v>0</v>
      </c>
      <c r="CW31" s="30"/>
      <c r="CX31" s="30">
        <f t="shared" si="1"/>
        <v>0</v>
      </c>
      <c r="CY31" s="30">
        <f t="shared" si="2"/>
        <v>0</v>
      </c>
    </row>
    <row r="32" spans="100:103" s="206" customFormat="1" ht="12.75" hidden="1">
      <c r="CV32" s="30">
        <f t="shared" si="0"/>
        <v>0</v>
      </c>
      <c r="CW32" s="30"/>
      <c r="CX32" s="30">
        <f t="shared" si="1"/>
        <v>0</v>
      </c>
      <c r="CY32" s="30">
        <f t="shared" si="2"/>
        <v>0</v>
      </c>
    </row>
    <row r="33" spans="100:103" s="206" customFormat="1" ht="12.75" hidden="1">
      <c r="CV33" s="30">
        <f t="shared" si="0"/>
        <v>0</v>
      </c>
      <c r="CW33" s="30"/>
      <c r="CX33" s="30">
        <f t="shared" si="1"/>
        <v>0</v>
      </c>
      <c r="CY33" s="30">
        <f t="shared" si="2"/>
        <v>0</v>
      </c>
    </row>
    <row r="34" spans="100:103" s="206" customFormat="1" ht="12.75" hidden="1">
      <c r="CV34" s="30">
        <f t="shared" si="0"/>
        <v>0</v>
      </c>
      <c r="CW34" s="30"/>
      <c r="CX34" s="30">
        <f t="shared" si="1"/>
        <v>0</v>
      </c>
      <c r="CY34" s="30">
        <f t="shared" si="2"/>
        <v>0</v>
      </c>
    </row>
    <row r="35" spans="1:103" ht="12.75" hidden="1">
      <c r="A35" s="22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L35" s="30">
        <f>SUM(B35:CK35)</f>
        <v>0</v>
      </c>
      <c r="CM35" s="30"/>
      <c r="CN35" s="30"/>
      <c r="CO35" s="30"/>
      <c r="CP35" s="30"/>
      <c r="CQ35" s="30"/>
      <c r="CR35" s="30"/>
      <c r="CS35" s="30"/>
      <c r="CT35" s="30"/>
      <c r="CU35" s="30"/>
      <c r="CV35" s="30">
        <f t="shared" si="0"/>
        <v>0</v>
      </c>
      <c r="CW35" s="30"/>
      <c r="CX35" s="30">
        <f t="shared" si="1"/>
        <v>0</v>
      </c>
      <c r="CY35" s="30">
        <f t="shared" si="2"/>
        <v>0</v>
      </c>
    </row>
    <row r="36" spans="1:103" ht="12.75" hidden="1">
      <c r="A36" s="22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L36" s="30">
        <f>SUM(B36:CK36)</f>
        <v>0</v>
      </c>
      <c r="CM36" s="30"/>
      <c r="CN36" s="30"/>
      <c r="CO36" s="30"/>
      <c r="CP36" s="30"/>
      <c r="CQ36" s="30"/>
      <c r="CR36" s="30"/>
      <c r="CS36" s="30"/>
      <c r="CT36" s="30"/>
      <c r="CU36" s="133"/>
      <c r="CV36" s="30">
        <f t="shared" si="0"/>
        <v>0</v>
      </c>
      <c r="CW36" s="30"/>
      <c r="CX36" s="30">
        <f t="shared" si="1"/>
        <v>0</v>
      </c>
      <c r="CY36" s="30">
        <f t="shared" si="2"/>
        <v>0</v>
      </c>
    </row>
    <row r="37" spans="1:103" ht="8.25" customHeight="1" hidden="1">
      <c r="A37" s="223"/>
      <c r="CL37" s="30"/>
      <c r="CM37" s="30"/>
      <c r="CN37" s="30"/>
      <c r="CO37" s="30"/>
      <c r="CP37" s="30"/>
      <c r="CQ37" s="30"/>
      <c r="CR37" s="30"/>
      <c r="CS37" s="30"/>
      <c r="CT37" s="30"/>
      <c r="CU37" s="224"/>
      <c r="CV37" s="30">
        <f t="shared" si="0"/>
        <v>0</v>
      </c>
      <c r="CW37" s="30"/>
      <c r="CX37" s="30">
        <f t="shared" si="1"/>
        <v>0</v>
      </c>
      <c r="CY37" s="30">
        <f t="shared" si="2"/>
        <v>0</v>
      </c>
    </row>
    <row r="38" spans="1:103" ht="12.75" hidden="1">
      <c r="A38" s="225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L38" s="30">
        <f>SUM(B38:CK38)</f>
        <v>0</v>
      </c>
      <c r="CM38" s="30"/>
      <c r="CN38" s="30"/>
      <c r="CO38" s="30"/>
      <c r="CP38" s="30"/>
      <c r="CQ38" s="30"/>
      <c r="CR38" s="30"/>
      <c r="CS38" s="30"/>
      <c r="CT38" s="30"/>
      <c r="CU38" s="30"/>
      <c r="CV38" s="30">
        <f t="shared" si="0"/>
        <v>0</v>
      </c>
      <c r="CW38" s="30"/>
      <c r="CX38" s="30">
        <f t="shared" si="1"/>
        <v>0</v>
      </c>
      <c r="CY38" s="30">
        <f t="shared" si="2"/>
        <v>0</v>
      </c>
    </row>
    <row r="39" spans="1:103" ht="12.75" hidden="1">
      <c r="A39" s="22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L39" s="30">
        <f>SUM(B39:CK39)</f>
        <v>0</v>
      </c>
      <c r="CM39" s="30"/>
      <c r="CN39" s="30"/>
      <c r="CO39" s="30"/>
      <c r="CP39" s="30"/>
      <c r="CQ39" s="30"/>
      <c r="CR39" s="30"/>
      <c r="CS39" s="30"/>
      <c r="CT39" s="30"/>
      <c r="CU39" s="133"/>
      <c r="CV39" s="30">
        <f t="shared" si="0"/>
        <v>0</v>
      </c>
      <c r="CW39" s="30"/>
      <c r="CX39" s="30">
        <f t="shared" si="1"/>
        <v>0</v>
      </c>
      <c r="CY39" s="30">
        <f t="shared" si="2"/>
        <v>0</v>
      </c>
    </row>
    <row r="40" spans="1:103" ht="8.25" customHeight="1" hidden="1">
      <c r="A40" s="226"/>
      <c r="CL40" s="30"/>
      <c r="CM40" s="30"/>
      <c r="CN40" s="30"/>
      <c r="CO40" s="30"/>
      <c r="CP40" s="30"/>
      <c r="CQ40" s="30"/>
      <c r="CR40" s="30"/>
      <c r="CS40" s="30"/>
      <c r="CT40" s="30"/>
      <c r="CU40" s="224"/>
      <c r="CV40" s="30">
        <f t="shared" si="0"/>
        <v>0</v>
      </c>
      <c r="CW40" s="30"/>
      <c r="CX40" s="30">
        <f t="shared" si="1"/>
        <v>0</v>
      </c>
      <c r="CY40" s="30">
        <f t="shared" si="2"/>
        <v>0</v>
      </c>
    </row>
    <row r="41" spans="1:103" ht="12.75" hidden="1">
      <c r="A41" s="98"/>
      <c r="CL41" s="30"/>
      <c r="CM41" s="30"/>
      <c r="CN41" s="30"/>
      <c r="CO41" s="30"/>
      <c r="CP41" s="30"/>
      <c r="CQ41" s="30"/>
      <c r="CR41" s="30"/>
      <c r="CS41" s="30"/>
      <c r="CT41" s="30"/>
      <c r="CU41" s="196"/>
      <c r="CV41" s="30">
        <f t="shared" si="0"/>
        <v>0</v>
      </c>
      <c r="CW41" s="30"/>
      <c r="CX41" s="30">
        <f t="shared" si="1"/>
        <v>0</v>
      </c>
      <c r="CY41" s="30">
        <f t="shared" si="2"/>
        <v>0</v>
      </c>
    </row>
    <row r="42" spans="1:103" ht="12.75" hidden="1">
      <c r="A42" s="227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L42" s="30">
        <f>SUM(B42:CK42)</f>
        <v>0</v>
      </c>
      <c r="CM42" s="30"/>
      <c r="CN42" s="30"/>
      <c r="CO42" s="30"/>
      <c r="CP42" s="30"/>
      <c r="CQ42" s="30"/>
      <c r="CR42" s="30"/>
      <c r="CS42" s="30"/>
      <c r="CT42" s="30"/>
      <c r="CU42" s="133"/>
      <c r="CV42" s="30">
        <f t="shared" si="0"/>
        <v>0</v>
      </c>
      <c r="CW42" s="30"/>
      <c r="CX42" s="30">
        <f t="shared" si="1"/>
        <v>0</v>
      </c>
      <c r="CY42" s="30">
        <f t="shared" si="2"/>
        <v>0</v>
      </c>
    </row>
    <row r="43" spans="1:103" ht="12.75" hidden="1">
      <c r="A43" s="227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L43" s="30">
        <f>SUM(B43:CK43)</f>
        <v>0</v>
      </c>
      <c r="CM43" s="30"/>
      <c r="CN43" s="30"/>
      <c r="CO43" s="30"/>
      <c r="CP43" s="30"/>
      <c r="CQ43" s="30"/>
      <c r="CR43" s="30"/>
      <c r="CS43" s="30"/>
      <c r="CT43" s="30"/>
      <c r="CU43" s="133"/>
      <c r="CV43" s="30">
        <f t="shared" si="0"/>
        <v>0</v>
      </c>
      <c r="CW43" s="30"/>
      <c r="CX43" s="30">
        <f t="shared" si="1"/>
        <v>0</v>
      </c>
      <c r="CY43" s="30">
        <f t="shared" si="2"/>
        <v>0</v>
      </c>
    </row>
    <row r="44" spans="1:103" ht="12.75" hidden="1">
      <c r="A44" s="108"/>
      <c r="B44" s="30">
        <f>B42+B43</f>
        <v>0</v>
      </c>
      <c r="C44" s="30"/>
      <c r="D44" s="30">
        <f>D42+D43</f>
        <v>0</v>
      </c>
      <c r="E44" s="30"/>
      <c r="F44" s="30"/>
      <c r="G44" s="30"/>
      <c r="H44" s="30"/>
      <c r="I44" s="30"/>
      <c r="J44" s="30">
        <f>J42+J43</f>
        <v>0</v>
      </c>
      <c r="K44" s="30"/>
      <c r="L44" s="30">
        <f>L42+L43</f>
        <v>0</v>
      </c>
      <c r="M44" s="30">
        <f>M42+M43</f>
        <v>0</v>
      </c>
      <c r="N44" s="30">
        <f>N42+N43</f>
        <v>0</v>
      </c>
      <c r="O44" s="30"/>
      <c r="P44" s="30">
        <f>P42+P43</f>
        <v>0</v>
      </c>
      <c r="Q44" s="30"/>
      <c r="R44" s="30">
        <f>R42+R43</f>
        <v>0</v>
      </c>
      <c r="S44" s="30"/>
      <c r="T44" s="30">
        <f>T42+T43</f>
        <v>0</v>
      </c>
      <c r="U44" s="30"/>
      <c r="V44" s="30">
        <f>V42+V43</f>
        <v>0</v>
      </c>
      <c r="W44" s="30">
        <f>W42+W43</f>
        <v>0</v>
      </c>
      <c r="X44" s="30">
        <f>X42+X43</f>
        <v>0</v>
      </c>
      <c r="Y44" s="30">
        <f>Y42+Y43</f>
        <v>0</v>
      </c>
      <c r="Z44" s="30"/>
      <c r="AA44" s="30">
        <f>AA42+AA43</f>
        <v>0</v>
      </c>
      <c r="AB44" s="30"/>
      <c r="AC44" s="30">
        <f>AC42+AC43</f>
        <v>0</v>
      </c>
      <c r="AD44" s="30">
        <f>AD42+AD43</f>
        <v>0</v>
      </c>
      <c r="AE44" s="30"/>
      <c r="AF44" s="30">
        <f>AF42+AF43</f>
        <v>0</v>
      </c>
      <c r="AG44" s="30">
        <f>AG42+AG43</f>
        <v>0</v>
      </c>
      <c r="AH44" s="30">
        <f>AH42+AH43</f>
        <v>0</v>
      </c>
      <c r="AI44" s="30">
        <f>AI42+AI43</f>
        <v>0</v>
      </c>
      <c r="AJ44" s="30"/>
      <c r="AK44" s="30">
        <f>AK42+AK43</f>
        <v>0</v>
      </c>
      <c r="AL44" s="30"/>
      <c r="AM44" s="30">
        <f>AM42+AM43</f>
        <v>0</v>
      </c>
      <c r="AN44" s="30"/>
      <c r="AO44" s="30">
        <f>AO42+AO43</f>
        <v>0</v>
      </c>
      <c r="AP44" s="30"/>
      <c r="AQ44" s="30">
        <f>AQ42+AQ43</f>
        <v>0</v>
      </c>
      <c r="AR44" s="30">
        <f>AR42+AR43</f>
        <v>0</v>
      </c>
      <c r="AS44" s="30"/>
      <c r="AT44" s="30">
        <f>AT42+AT43</f>
        <v>0</v>
      </c>
      <c r="AU44" s="30"/>
      <c r="AV44" s="30">
        <f>AV42+AV43</f>
        <v>0</v>
      </c>
      <c r="AW44" s="30"/>
      <c r="AX44" s="30">
        <f>AX42+AX43</f>
        <v>0</v>
      </c>
      <c r="AY44" s="30">
        <f>AY42+AY43</f>
        <v>0</v>
      </c>
      <c r="AZ44" s="30"/>
      <c r="BA44" s="30">
        <f>BA42+BA43</f>
        <v>0</v>
      </c>
      <c r="BB44" s="30">
        <f>BB42+BB43</f>
        <v>0</v>
      </c>
      <c r="BC44" s="30"/>
      <c r="BD44" s="30">
        <f>BD42+BD43</f>
        <v>0</v>
      </c>
      <c r="BE44" s="30"/>
      <c r="BF44" s="30">
        <f>BF42+BF43</f>
        <v>0</v>
      </c>
      <c r="BG44" s="30"/>
      <c r="BH44" s="30">
        <f>BH42+BH43</f>
        <v>0</v>
      </c>
      <c r="BI44" s="30"/>
      <c r="BJ44" s="30">
        <f>BJ42+BJ43</f>
        <v>0</v>
      </c>
      <c r="BK44" s="30">
        <f>BK42+BK43</f>
        <v>0</v>
      </c>
      <c r="BL44" s="30"/>
      <c r="BM44" s="30"/>
      <c r="BN44" s="30">
        <f>BN42+BN43</f>
        <v>0</v>
      </c>
      <c r="BO44" s="30">
        <f>BO42+BO43</f>
        <v>0</v>
      </c>
      <c r="BP44" s="30">
        <f>BP42+BP43</f>
        <v>0</v>
      </c>
      <c r="BQ44" s="30"/>
      <c r="BR44" s="30">
        <f>BR42+BR43</f>
        <v>0</v>
      </c>
      <c r="BS44" s="30">
        <f>BS42+BS43</f>
        <v>0</v>
      </c>
      <c r="BT44" s="30">
        <f>BT42+BT43</f>
        <v>0</v>
      </c>
      <c r="BU44" s="30"/>
      <c r="BV44" s="30">
        <f>BV42+BV43</f>
        <v>0</v>
      </c>
      <c r="BW44" s="30">
        <f>BW42+BW43</f>
        <v>0</v>
      </c>
      <c r="BX44" s="30">
        <f>BX42+BX43</f>
        <v>0</v>
      </c>
      <c r="BY44" s="30"/>
      <c r="BZ44" s="30">
        <f>BZ42+BZ43</f>
        <v>0</v>
      </c>
      <c r="CA44" s="30">
        <f>CA42+CA43</f>
        <v>0</v>
      </c>
      <c r="CB44" s="30">
        <f>CB42+CB43</f>
        <v>0</v>
      </c>
      <c r="CC44" s="30">
        <f>CC42+CC43</f>
        <v>0</v>
      </c>
      <c r="CD44" s="30">
        <f>CD42+CD43</f>
        <v>0</v>
      </c>
      <c r="CE44" s="30"/>
      <c r="CF44" s="30">
        <f>CF42+CF43</f>
        <v>0</v>
      </c>
      <c r="CG44" s="30">
        <f>CG42+CG43</f>
        <v>0</v>
      </c>
      <c r="CH44" s="30">
        <f>CH42+CH43</f>
        <v>0</v>
      </c>
      <c r="CI44" s="30">
        <f>CI42+CI43</f>
        <v>0</v>
      </c>
      <c r="CJ44" s="30">
        <f>CJ42+CJ43</f>
        <v>0</v>
      </c>
      <c r="CL44" s="30">
        <f>SUM(B44:CK44)</f>
        <v>0</v>
      </c>
      <c r="CM44" s="30"/>
      <c r="CN44" s="30"/>
      <c r="CO44" s="30"/>
      <c r="CP44" s="30"/>
      <c r="CQ44" s="30"/>
      <c r="CR44" s="30"/>
      <c r="CS44" s="30"/>
      <c r="CT44" s="30"/>
      <c r="CU44" s="30"/>
      <c r="CV44" s="30">
        <f t="shared" si="0"/>
        <v>0</v>
      </c>
      <c r="CW44" s="30"/>
      <c r="CX44" s="30">
        <f t="shared" si="1"/>
        <v>0</v>
      </c>
      <c r="CY44" s="30">
        <f t="shared" si="2"/>
        <v>0</v>
      </c>
    </row>
    <row r="45" spans="1:103" ht="8.25" customHeight="1" hidden="1">
      <c r="A45" s="108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30"/>
      <c r="CM45" s="30"/>
      <c r="CN45" s="30"/>
      <c r="CO45" s="30"/>
      <c r="CP45" s="30"/>
      <c r="CQ45" s="30"/>
      <c r="CR45" s="30"/>
      <c r="CS45" s="30"/>
      <c r="CT45" s="30"/>
      <c r="CU45" s="224"/>
      <c r="CV45" s="30">
        <f t="shared" si="0"/>
        <v>0</v>
      </c>
      <c r="CW45" s="30"/>
      <c r="CX45" s="30">
        <f t="shared" si="1"/>
        <v>0</v>
      </c>
      <c r="CY45" s="30">
        <f t="shared" si="2"/>
        <v>0</v>
      </c>
    </row>
    <row r="46" spans="1:103" ht="12.75" hidden="1">
      <c r="A46" s="98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L46" s="30">
        <f>SUM(B46:CK46)</f>
        <v>0</v>
      </c>
      <c r="CM46" s="30"/>
      <c r="CN46" s="30"/>
      <c r="CO46" s="30"/>
      <c r="CP46" s="30"/>
      <c r="CQ46" s="30"/>
      <c r="CR46" s="30"/>
      <c r="CS46" s="30"/>
      <c r="CT46" s="30"/>
      <c r="CU46" s="133"/>
      <c r="CV46" s="30">
        <f t="shared" si="0"/>
        <v>0</v>
      </c>
      <c r="CW46" s="30"/>
      <c r="CX46" s="30">
        <f t="shared" si="1"/>
        <v>0</v>
      </c>
      <c r="CY46" s="30">
        <f t="shared" si="2"/>
        <v>0</v>
      </c>
    </row>
    <row r="47" spans="1:103" ht="8.25" customHeight="1" hidden="1">
      <c r="A47" s="228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L47" s="30"/>
      <c r="CM47" s="30"/>
      <c r="CN47" s="30"/>
      <c r="CO47" s="30"/>
      <c r="CP47" s="30"/>
      <c r="CQ47" s="30"/>
      <c r="CR47" s="30"/>
      <c r="CS47" s="30"/>
      <c r="CT47" s="30"/>
      <c r="CU47" s="133"/>
      <c r="CV47" s="30">
        <f t="shared" si="0"/>
        <v>0</v>
      </c>
      <c r="CW47" s="30"/>
      <c r="CX47" s="30">
        <f t="shared" si="1"/>
        <v>0</v>
      </c>
      <c r="CY47" s="30">
        <f t="shared" si="2"/>
        <v>0</v>
      </c>
    </row>
    <row r="48" spans="1:103" ht="12.75" hidden="1">
      <c r="A48" s="98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L48" s="30">
        <f>SUM(B48:CK48)</f>
        <v>0</v>
      </c>
      <c r="CM48" s="30"/>
      <c r="CN48" s="30"/>
      <c r="CO48" s="30"/>
      <c r="CP48" s="30"/>
      <c r="CQ48" s="30"/>
      <c r="CR48" s="30"/>
      <c r="CS48" s="30"/>
      <c r="CT48" s="30"/>
      <c r="CU48" s="133"/>
      <c r="CV48" s="30">
        <f t="shared" si="0"/>
        <v>0</v>
      </c>
      <c r="CW48" s="30"/>
      <c r="CX48" s="30">
        <f t="shared" si="1"/>
        <v>0</v>
      </c>
      <c r="CY48" s="30">
        <f t="shared" si="2"/>
        <v>0</v>
      </c>
    </row>
    <row r="49" spans="1:103" ht="8.25" customHeight="1" hidden="1">
      <c r="A49" s="98"/>
      <c r="CL49" s="30"/>
      <c r="CM49" s="30"/>
      <c r="CN49" s="30"/>
      <c r="CO49" s="30"/>
      <c r="CP49" s="30"/>
      <c r="CQ49" s="30"/>
      <c r="CR49" s="30"/>
      <c r="CS49" s="30"/>
      <c r="CT49" s="30"/>
      <c r="CU49" s="224"/>
      <c r="CV49" s="30">
        <f t="shared" si="0"/>
        <v>0</v>
      </c>
      <c r="CW49" s="30"/>
      <c r="CX49" s="30">
        <f t="shared" si="1"/>
        <v>0</v>
      </c>
      <c r="CY49" s="30">
        <f t="shared" si="2"/>
        <v>0</v>
      </c>
    </row>
    <row r="50" spans="1:103" ht="12.75" hidden="1">
      <c r="A50" s="98"/>
      <c r="B50" s="30">
        <f>B20+B31+B33+B35+B38+B44+B46+B48</f>
        <v>0</v>
      </c>
      <c r="C50" s="30"/>
      <c r="D50" s="30">
        <f>D20+D31+D33+D35+D38+D44+D46+D48</f>
        <v>0</v>
      </c>
      <c r="E50" s="30"/>
      <c r="F50" s="30"/>
      <c r="G50" s="30"/>
      <c r="H50" s="30"/>
      <c r="I50" s="30"/>
      <c r="J50" s="30">
        <f>J20+J31+J33+J35+J38+J44+J46+J48</f>
        <v>0</v>
      </c>
      <c r="K50" s="30"/>
      <c r="L50" s="30">
        <f>L20+L31+L33+L35+L38+L44+L46+L48</f>
        <v>0</v>
      </c>
      <c r="M50" s="30">
        <f>M20+M31+M33+M35+M38+M44+M46+M48</f>
        <v>0</v>
      </c>
      <c r="N50" s="30">
        <f>N20+N31+N33+N35+N38+N44+N46+N48</f>
        <v>0</v>
      </c>
      <c r="O50" s="30"/>
      <c r="P50" s="30">
        <f>P20+P31+P33+P35+P38+P44+P46+P48</f>
        <v>0</v>
      </c>
      <c r="Q50" s="30"/>
      <c r="R50" s="30">
        <f>R20+R31+R33+R35+R38+R44+R46+R48</f>
        <v>0</v>
      </c>
      <c r="S50" s="30"/>
      <c r="T50" s="30">
        <f>T20+T31+T33+T35+T38+T44+T46+T48</f>
        <v>0</v>
      </c>
      <c r="U50" s="30"/>
      <c r="V50" s="30">
        <f>V20+V31+V33+V35+V38+V44+V46+V48</f>
        <v>0</v>
      </c>
      <c r="W50" s="30">
        <f>W20+W31+W33+W35+W38+W44+W46+W48</f>
        <v>0</v>
      </c>
      <c r="X50" s="30">
        <f>X20+X31+X33+X35+X38+X44+X46+X48</f>
        <v>0</v>
      </c>
      <c r="Y50" s="30">
        <f>Y20+Y31+Y33+Y35+Y38+Y44+Y46+Y48</f>
        <v>0</v>
      </c>
      <c r="Z50" s="30"/>
      <c r="AA50" s="30">
        <f>AA20+AA31+AA33+AA35+AA38+AA44+AA46+AA48</f>
        <v>0</v>
      </c>
      <c r="AB50" s="30"/>
      <c r="AC50" s="30">
        <f>AC20+AC31+AC33+AC35+AC38+AC44+AC46+AC48</f>
        <v>0</v>
      </c>
      <c r="AD50" s="30">
        <f>AD20+AD31+AD33+AD35+AD38+AD44+AD46+AD48</f>
        <v>0</v>
      </c>
      <c r="AE50" s="30"/>
      <c r="AF50" s="30">
        <f>AF20+AF31+AF33+AF35+AF38+AF44+AF46+AF48</f>
        <v>0</v>
      </c>
      <c r="AG50" s="30">
        <f>AG20+AG31+AG33+AG35+AG38+AG44+AG46+AG48</f>
        <v>0</v>
      </c>
      <c r="AH50" s="30">
        <f>AH20+AH31+AH33+AH35+AH38+AH44+AH46+AH48</f>
        <v>0</v>
      </c>
      <c r="AI50" s="30">
        <f>AI20+AI31+AI33+AI35+AI38+AI44+AI46+AI48</f>
        <v>0</v>
      </c>
      <c r="AJ50" s="30"/>
      <c r="AK50" s="30">
        <f>AK20+AK31+AK33+AK35+AK38+AK44+AK46+AK48</f>
        <v>0</v>
      </c>
      <c r="AL50" s="30"/>
      <c r="AM50" s="30">
        <f>AM20+AM31+AM33+AM35+AM38+AM44+AM46+AM48</f>
        <v>0</v>
      </c>
      <c r="AN50" s="30"/>
      <c r="AO50" s="30">
        <f>AO20+AO31+AO33+AO35+AO38+AO44+AO46+AO48</f>
        <v>0</v>
      </c>
      <c r="AP50" s="30"/>
      <c r="AQ50" s="30">
        <f>AQ20+AQ31+AQ33+AQ35+AQ38+AQ44+AQ46+AQ48</f>
        <v>0</v>
      </c>
      <c r="AR50" s="30">
        <f>AR20+AR31+AR33+AR35+AR38+AR44+AR46+AR48</f>
        <v>0</v>
      </c>
      <c r="AS50" s="30"/>
      <c r="AT50" s="30">
        <f>AT20+AT31+AT33+AT35+AT38+AT44+AT46+AT48</f>
        <v>0</v>
      </c>
      <c r="AU50" s="30"/>
      <c r="AV50" s="30">
        <f>AV20+AV31+AV33+AV35+AV38+AV44+AV46+AV48</f>
        <v>0</v>
      </c>
      <c r="AW50" s="30"/>
      <c r="AX50" s="30">
        <f>AX20+AX31+AX33+AX35+AX38+AX44+AX46+AX48</f>
        <v>0</v>
      </c>
      <c r="AY50" s="30">
        <f>AY20+AY31+AY33+AY35+AY38+AY44+AY46+AY48</f>
        <v>0</v>
      </c>
      <c r="AZ50" s="30"/>
      <c r="BA50" s="30">
        <f>BA20+BA31+BA33+BA35+BA38+BA44+BA46+BA48</f>
        <v>0</v>
      </c>
      <c r="BB50" s="30">
        <f>BB20+BB31+BB33+BB35+BB38+BB44+BB46+BB48</f>
        <v>0</v>
      </c>
      <c r="BC50" s="30"/>
      <c r="BD50" s="30">
        <f>BD20+BD31+BD33+BD35+BD38+BD44+BD46+BD48</f>
        <v>0</v>
      </c>
      <c r="BE50" s="30"/>
      <c r="BF50" s="30">
        <f>BF20+BF31+BF33+BF35+BF38+BF44+BF46+BF48</f>
        <v>0</v>
      </c>
      <c r="BG50" s="30"/>
      <c r="BH50" s="30">
        <f>BH20+BH31+BH33+BH35+BH38+BH44+BH46+BH48</f>
        <v>0</v>
      </c>
      <c r="BI50" s="30"/>
      <c r="BJ50" s="30">
        <f>BJ20+BJ31+BJ33+BJ35+BJ38+BJ44+BJ46+BJ48</f>
        <v>0</v>
      </c>
      <c r="BK50" s="30">
        <f>BK20+BK31+BK33+BK35+BK38+BK44+BK46+BK48</f>
        <v>0</v>
      </c>
      <c r="BL50" s="30"/>
      <c r="BM50" s="30"/>
      <c r="BN50" s="30">
        <f>BN20+BN31+BN33+BN35+BN38+BN44+BN46+BN48</f>
        <v>0</v>
      </c>
      <c r="BO50" s="30">
        <f>BO20+BO31+BO33+BO35+BO38+BO44+BO46+BO48</f>
        <v>0</v>
      </c>
      <c r="BP50" s="30">
        <f>BP20+BP31+BP33+BP35+BP38+BP44+BP46+BP48</f>
        <v>0</v>
      </c>
      <c r="BQ50" s="30"/>
      <c r="BR50" s="30">
        <f>BR20+BR31+BR33+BR35+BR38+BR44+BR46+BR48</f>
        <v>0</v>
      </c>
      <c r="BS50" s="30">
        <f>BS20+BS31+BS33+BS35+BS38+BS44+BS46+BS48</f>
        <v>0</v>
      </c>
      <c r="BT50" s="30">
        <f>BT20+BT31+BT33+BT35+BT38+BT44+BT46+BT48</f>
        <v>0</v>
      </c>
      <c r="BU50" s="30"/>
      <c r="BV50" s="30">
        <f>BV20+BV31+BV33+BV35+BV38+BV44+BV46+BV48</f>
        <v>0</v>
      </c>
      <c r="BW50" s="30">
        <f>BW20+BW31+BW33+BW35+BW38+BW44+BW46+BW48</f>
        <v>0</v>
      </c>
      <c r="BX50" s="30">
        <f>BX20+BX31+BX33+BX35+BX38+BX44+BX46+BX48</f>
        <v>0</v>
      </c>
      <c r="BY50" s="30"/>
      <c r="BZ50" s="30">
        <f>BZ20+BZ31+BZ33+BZ35+BZ38+BZ44+BZ46+BZ48</f>
        <v>0</v>
      </c>
      <c r="CA50" s="30">
        <f>CA20+CA31+CA33+CA35+CA38+CA44+CA46+CA48</f>
        <v>0</v>
      </c>
      <c r="CB50" s="30">
        <f>CB20+CB31+CB33+CB35+CB38+CB44+CB46+CB48</f>
        <v>0</v>
      </c>
      <c r="CC50" s="30">
        <f>CC20+CC31+CC33+CC35+CC38+CC44+CC46+CC48</f>
        <v>0</v>
      </c>
      <c r="CD50" s="30">
        <f>CD20+CD31+CD33+CD35+CD38+CD44+CD46+CD48</f>
        <v>0</v>
      </c>
      <c r="CE50" s="30"/>
      <c r="CF50" s="30">
        <f>CF20+CF31+CF33+CF35+CF38+CF44+CF46+CF48</f>
        <v>0</v>
      </c>
      <c r="CG50" s="30">
        <f>CG20+CG31+CG33+CG35+CG38+CG44+CG46+CG48</f>
        <v>0</v>
      </c>
      <c r="CH50" s="30">
        <f>CH20+CH31+CH33+CH35+CH38+CH44+CH46+CH48</f>
        <v>0</v>
      </c>
      <c r="CI50" s="30">
        <f>CI20+CI31+CI33+CI35+CI38+CI44+CI46+CI48</f>
        <v>0</v>
      </c>
      <c r="CJ50" s="30">
        <f>CJ20+CJ31+CJ33+CJ35+CJ38+CJ44+CJ46+CJ48</f>
        <v>0</v>
      </c>
      <c r="CL50" s="30">
        <f>SUM(B50:CK50)</f>
        <v>0</v>
      </c>
      <c r="CM50" s="30"/>
      <c r="CN50" s="30"/>
      <c r="CO50" s="30"/>
      <c r="CP50" s="30"/>
      <c r="CQ50" s="30"/>
      <c r="CR50" s="30"/>
      <c r="CS50" s="30"/>
      <c r="CT50" s="30"/>
      <c r="CU50" s="30"/>
      <c r="CV50" s="30">
        <f t="shared" si="0"/>
        <v>0</v>
      </c>
      <c r="CW50" s="30"/>
      <c r="CX50" s="30">
        <f t="shared" si="1"/>
        <v>0</v>
      </c>
      <c r="CY50" s="30">
        <f t="shared" si="2"/>
        <v>0</v>
      </c>
    </row>
    <row r="51" spans="1:103" ht="8.25" customHeight="1" hidden="1">
      <c r="A51" s="98"/>
      <c r="CL51" s="30"/>
      <c r="CM51" s="30"/>
      <c r="CN51" s="30"/>
      <c r="CO51" s="30"/>
      <c r="CP51" s="30"/>
      <c r="CQ51" s="30"/>
      <c r="CR51" s="30"/>
      <c r="CS51" s="30"/>
      <c r="CT51" s="30"/>
      <c r="CU51" s="224"/>
      <c r="CV51" s="30">
        <f t="shared" si="0"/>
        <v>0</v>
      </c>
      <c r="CW51" s="30"/>
      <c r="CX51" s="30">
        <f t="shared" si="1"/>
        <v>0</v>
      </c>
      <c r="CY51" s="30">
        <f t="shared" si="2"/>
        <v>0</v>
      </c>
    </row>
    <row r="52" spans="1:103" ht="12.75" hidden="1">
      <c r="A52" s="229"/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30"/>
      <c r="CM52" s="30"/>
      <c r="CN52" s="30"/>
      <c r="CO52" s="30"/>
      <c r="CP52" s="30"/>
      <c r="CQ52" s="30"/>
      <c r="CR52" s="30"/>
      <c r="CS52" s="30"/>
      <c r="CT52" s="30"/>
      <c r="CU52" s="224"/>
      <c r="CV52" s="30">
        <f t="shared" si="0"/>
        <v>0</v>
      </c>
      <c r="CW52" s="30"/>
      <c r="CX52" s="30">
        <f t="shared" si="1"/>
        <v>0</v>
      </c>
      <c r="CY52" s="30">
        <f t="shared" si="2"/>
        <v>0</v>
      </c>
    </row>
    <row r="53" spans="1:103" ht="12.75" hidden="1">
      <c r="A53" s="51"/>
      <c r="CL53" s="30"/>
      <c r="CM53" s="30"/>
      <c r="CN53" s="30"/>
      <c r="CO53" s="30"/>
      <c r="CP53" s="30"/>
      <c r="CQ53" s="30"/>
      <c r="CR53" s="30"/>
      <c r="CS53" s="30"/>
      <c r="CT53" s="30"/>
      <c r="CU53" s="224"/>
      <c r="CV53" s="30">
        <f t="shared" si="0"/>
        <v>0</v>
      </c>
      <c r="CW53" s="30"/>
      <c r="CX53" s="30">
        <f t="shared" si="1"/>
        <v>0</v>
      </c>
      <c r="CY53" s="30">
        <f t="shared" si="2"/>
        <v>0</v>
      </c>
    </row>
    <row r="54" spans="1:103" ht="12.75" hidden="1">
      <c r="A54" s="103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L54" s="30">
        <f>SUM(B54:CK54)</f>
        <v>0</v>
      </c>
      <c r="CM54" s="30"/>
      <c r="CN54" s="30"/>
      <c r="CO54" s="30"/>
      <c r="CP54" s="30"/>
      <c r="CQ54" s="30"/>
      <c r="CR54" s="30"/>
      <c r="CS54" s="30"/>
      <c r="CT54" s="30"/>
      <c r="CU54" s="133"/>
      <c r="CV54" s="30">
        <f t="shared" si="0"/>
        <v>0</v>
      </c>
      <c r="CW54" s="30"/>
      <c r="CX54" s="30">
        <f t="shared" si="1"/>
        <v>0</v>
      </c>
      <c r="CY54" s="30">
        <f t="shared" si="2"/>
        <v>0</v>
      </c>
    </row>
    <row r="55" spans="1:103" ht="12.75" hidden="1">
      <c r="A55" s="10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L55" s="30">
        <f>SUM(B55:CK55)</f>
        <v>0</v>
      </c>
      <c r="CM55" s="30"/>
      <c r="CN55" s="30"/>
      <c r="CO55" s="30"/>
      <c r="CP55" s="30"/>
      <c r="CQ55" s="30"/>
      <c r="CR55" s="30"/>
      <c r="CS55" s="30"/>
      <c r="CT55" s="30"/>
      <c r="CU55" s="133"/>
      <c r="CV55" s="30">
        <f t="shared" si="0"/>
        <v>0</v>
      </c>
      <c r="CW55" s="30"/>
      <c r="CX55" s="30">
        <f t="shared" si="1"/>
        <v>0</v>
      </c>
      <c r="CY55" s="30">
        <f t="shared" si="2"/>
        <v>0</v>
      </c>
    </row>
    <row r="56" spans="1:103" ht="12.75" hidden="1">
      <c r="A56" s="10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L56" s="30">
        <f>SUM(B56:CK56)</f>
        <v>0</v>
      </c>
      <c r="CM56" s="30"/>
      <c r="CN56" s="30"/>
      <c r="CO56" s="30"/>
      <c r="CP56" s="30"/>
      <c r="CQ56" s="30"/>
      <c r="CR56" s="30"/>
      <c r="CS56" s="30"/>
      <c r="CT56" s="30"/>
      <c r="CU56" s="133"/>
      <c r="CV56" s="30">
        <f t="shared" si="0"/>
        <v>0</v>
      </c>
      <c r="CW56" s="30"/>
      <c r="CX56" s="30">
        <f t="shared" si="1"/>
        <v>0</v>
      </c>
      <c r="CY56" s="30">
        <f t="shared" si="2"/>
        <v>0</v>
      </c>
    </row>
    <row r="57" spans="1:103" ht="12.75" hidden="1">
      <c r="A57" s="231"/>
      <c r="B57" s="30">
        <f>B54+B55+B56</f>
        <v>0</v>
      </c>
      <c r="C57" s="30"/>
      <c r="D57" s="30">
        <f>D54+D55+D56</f>
        <v>0</v>
      </c>
      <c r="E57" s="30"/>
      <c r="F57" s="30"/>
      <c r="G57" s="30"/>
      <c r="H57" s="30"/>
      <c r="I57" s="30"/>
      <c r="J57" s="30">
        <f>J54+J55+J56</f>
        <v>0</v>
      </c>
      <c r="K57" s="30"/>
      <c r="L57" s="30">
        <f>L54+L55+L56</f>
        <v>0</v>
      </c>
      <c r="M57" s="30">
        <f>M54+M55+M56</f>
        <v>0</v>
      </c>
      <c r="N57" s="30">
        <f>N54+N55+N56</f>
        <v>0</v>
      </c>
      <c r="O57" s="30"/>
      <c r="P57" s="30">
        <f>P54+P55+P56</f>
        <v>0</v>
      </c>
      <c r="Q57" s="30"/>
      <c r="R57" s="30">
        <f>R54+R55+R56</f>
        <v>0</v>
      </c>
      <c r="S57" s="30"/>
      <c r="T57" s="30">
        <f>T54+T55+T56</f>
        <v>0</v>
      </c>
      <c r="U57" s="30"/>
      <c r="V57" s="30">
        <f>V54+V55+V56</f>
        <v>0</v>
      </c>
      <c r="W57" s="30">
        <f>W54+W55+W56</f>
        <v>0</v>
      </c>
      <c r="X57" s="30">
        <f>X54+X55+X56</f>
        <v>0</v>
      </c>
      <c r="Y57" s="30">
        <f>Y54+Y55+Y56</f>
        <v>0</v>
      </c>
      <c r="Z57" s="30"/>
      <c r="AA57" s="30">
        <f>AA54+AA55+AA56</f>
        <v>0</v>
      </c>
      <c r="AB57" s="30"/>
      <c r="AC57" s="30">
        <f>AC54+AC55+AC56</f>
        <v>0</v>
      </c>
      <c r="AD57" s="30">
        <f>AD54+AD55+AD56</f>
        <v>0</v>
      </c>
      <c r="AE57" s="30"/>
      <c r="AF57" s="30">
        <f>AF54+AF55+AF56</f>
        <v>0</v>
      </c>
      <c r="AG57" s="30">
        <f>AG54+AG55+AG56</f>
        <v>0</v>
      </c>
      <c r="AH57" s="30">
        <f>AH54+AH55+AH56</f>
        <v>0</v>
      </c>
      <c r="AI57" s="30">
        <f>AI54+AI55+AI56</f>
        <v>0</v>
      </c>
      <c r="AJ57" s="30"/>
      <c r="AK57" s="30">
        <f>AK54+AK55+AK56</f>
        <v>0</v>
      </c>
      <c r="AL57" s="30"/>
      <c r="AM57" s="30">
        <f>AM54+AM55+AM56</f>
        <v>0</v>
      </c>
      <c r="AN57" s="30"/>
      <c r="AO57" s="30">
        <f>AO54+AO55+AO56</f>
        <v>0</v>
      </c>
      <c r="AP57" s="30"/>
      <c r="AQ57" s="30">
        <f>AQ54+AQ55+AQ56</f>
        <v>0</v>
      </c>
      <c r="AR57" s="30">
        <f>AR54+AR55+AR56</f>
        <v>0</v>
      </c>
      <c r="AS57" s="30"/>
      <c r="AT57" s="30">
        <f>AT54+AT55+AT56</f>
        <v>0</v>
      </c>
      <c r="AU57" s="30"/>
      <c r="AV57" s="30">
        <f>AV54+AV55+AV56</f>
        <v>0</v>
      </c>
      <c r="AW57" s="30"/>
      <c r="AX57" s="30">
        <f>AX54+AX55+AX56</f>
        <v>0</v>
      </c>
      <c r="AY57" s="30">
        <f>AY54+AY55+AY56</f>
        <v>0</v>
      </c>
      <c r="AZ57" s="30"/>
      <c r="BA57" s="30">
        <f>BA54+BA55+BA56</f>
        <v>0</v>
      </c>
      <c r="BB57" s="30">
        <f>BB54+BB55+BB56</f>
        <v>0</v>
      </c>
      <c r="BC57" s="30"/>
      <c r="BD57" s="30">
        <f>BD54+BD55+BD56</f>
        <v>0</v>
      </c>
      <c r="BE57" s="30"/>
      <c r="BF57" s="30">
        <f>BF54+BF55+BF56</f>
        <v>0</v>
      </c>
      <c r="BG57" s="30"/>
      <c r="BH57" s="30">
        <f>BH54+BH55+BH56</f>
        <v>0</v>
      </c>
      <c r="BI57" s="30"/>
      <c r="BJ57" s="30">
        <f>BJ54+BJ55+BJ56</f>
        <v>0</v>
      </c>
      <c r="BK57" s="30">
        <f>BK54+BK55+BK56</f>
        <v>0</v>
      </c>
      <c r="BL57" s="30"/>
      <c r="BM57" s="30"/>
      <c r="BN57" s="30">
        <f>BN54+BN55+BN56</f>
        <v>0</v>
      </c>
      <c r="BO57" s="30">
        <f>BO54+BO55+BO56</f>
        <v>0</v>
      </c>
      <c r="BP57" s="30">
        <f>BP54+BP55+BP56</f>
        <v>0</v>
      </c>
      <c r="BQ57" s="30"/>
      <c r="BR57" s="30">
        <f>BR54+BR55+BR56</f>
        <v>0</v>
      </c>
      <c r="BS57" s="30">
        <f>BS54+BS55+BS56</f>
        <v>0</v>
      </c>
      <c r="BT57" s="30">
        <f>BT54+BT55+BT56</f>
        <v>0</v>
      </c>
      <c r="BU57" s="30"/>
      <c r="BV57" s="30">
        <f>BV54+BV55+BV56</f>
        <v>0</v>
      </c>
      <c r="BW57" s="30">
        <f>BW54+BW55+BW56</f>
        <v>0</v>
      </c>
      <c r="BX57" s="30">
        <f>BX54+BX55+BX56</f>
        <v>0</v>
      </c>
      <c r="BY57" s="30"/>
      <c r="BZ57" s="30">
        <f>BZ54+BZ55+BZ56</f>
        <v>0</v>
      </c>
      <c r="CA57" s="30">
        <f>CA54+CA55+CA56</f>
        <v>0</v>
      </c>
      <c r="CB57" s="30">
        <f>CB54+CB55+CB56</f>
        <v>0</v>
      </c>
      <c r="CC57" s="30">
        <f>CC54+CC55+CC56</f>
        <v>0</v>
      </c>
      <c r="CD57" s="30">
        <f>CD54+CD55+CD56</f>
        <v>0</v>
      </c>
      <c r="CE57" s="30"/>
      <c r="CF57" s="30">
        <f>CF54+CF55+CF56</f>
        <v>0</v>
      </c>
      <c r="CG57" s="30">
        <f>CG54+CG55+CG56</f>
        <v>0</v>
      </c>
      <c r="CH57" s="30">
        <f>CH54+CH55+CH56</f>
        <v>0</v>
      </c>
      <c r="CI57" s="30">
        <f>CI54+CI55+CI56</f>
        <v>0</v>
      </c>
      <c r="CJ57" s="30">
        <f>CJ54+CJ55+CJ56</f>
        <v>0</v>
      </c>
      <c r="CL57" s="30">
        <f>SUM(B57:CK57)</f>
        <v>0</v>
      </c>
      <c r="CM57" s="30"/>
      <c r="CN57" s="30"/>
      <c r="CO57" s="30"/>
      <c r="CP57" s="30"/>
      <c r="CQ57" s="30"/>
      <c r="CR57" s="30"/>
      <c r="CS57" s="30"/>
      <c r="CT57" s="30"/>
      <c r="CU57" s="30"/>
      <c r="CV57" s="30">
        <f t="shared" si="0"/>
        <v>0</v>
      </c>
      <c r="CW57" s="30"/>
      <c r="CX57" s="30">
        <f t="shared" si="1"/>
        <v>0</v>
      </c>
      <c r="CY57" s="30">
        <f t="shared" si="2"/>
        <v>0</v>
      </c>
    </row>
    <row r="58" spans="1:103" ht="12.75">
      <c r="A58" s="231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>
        <f t="shared" si="0"/>
        <v>0</v>
      </c>
      <c r="CW58" s="30"/>
      <c r="CX58" s="30">
        <f t="shared" si="1"/>
        <v>0</v>
      </c>
      <c r="CY58" s="30">
        <f t="shared" si="2"/>
        <v>0</v>
      </c>
    </row>
    <row r="59" spans="1:103" ht="12.75">
      <c r="A59" s="111" t="s">
        <v>324</v>
      </c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R59" s="213"/>
      <c r="S59" s="213"/>
      <c r="T59" s="213"/>
      <c r="U59" s="213"/>
      <c r="V59" s="213"/>
      <c r="W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P59" s="213"/>
      <c r="BQ59" s="213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213"/>
      <c r="CL59" s="56"/>
      <c r="CM59" s="56"/>
      <c r="CN59" s="56"/>
      <c r="CO59" s="56"/>
      <c r="CP59" s="56"/>
      <c r="CQ59" s="56"/>
      <c r="CR59" s="30"/>
      <c r="CS59" s="30"/>
      <c r="CT59" s="30"/>
      <c r="CU59" s="56"/>
      <c r="CV59" s="30">
        <f t="shared" si="0"/>
        <v>0</v>
      </c>
      <c r="CW59" s="30"/>
      <c r="CX59" s="30">
        <f t="shared" si="1"/>
        <v>0</v>
      </c>
      <c r="CY59" s="30">
        <f t="shared" si="2"/>
        <v>0</v>
      </c>
    </row>
    <row r="60" spans="1:103" ht="12.75">
      <c r="A60" s="111" t="s">
        <v>136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  <c r="BO60" s="213"/>
      <c r="BP60" s="213"/>
      <c r="BQ60" s="213"/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L60" s="56"/>
      <c r="CM60" s="56"/>
      <c r="CN60" s="56"/>
      <c r="CO60" s="56"/>
      <c r="CP60" s="56"/>
      <c r="CQ60" s="56"/>
      <c r="CR60" s="30"/>
      <c r="CS60" s="30"/>
      <c r="CT60" s="30"/>
      <c r="CU60" s="56"/>
      <c r="CV60" s="30">
        <f t="shared" si="0"/>
        <v>0</v>
      </c>
      <c r="CW60" s="30"/>
      <c r="CX60" s="30">
        <f t="shared" si="1"/>
        <v>0</v>
      </c>
      <c r="CY60" s="30">
        <f t="shared" si="2"/>
        <v>0</v>
      </c>
    </row>
    <row r="61" spans="1:103" ht="12.75">
      <c r="A61" s="104" t="s">
        <v>345</v>
      </c>
      <c r="P61" s="213"/>
      <c r="Q61" s="213"/>
      <c r="X61" s="213"/>
      <c r="CL61" s="56"/>
      <c r="CM61" s="56"/>
      <c r="CN61" s="56"/>
      <c r="CO61" s="56"/>
      <c r="CP61" s="56"/>
      <c r="CQ61" s="56"/>
      <c r="CR61" s="30"/>
      <c r="CS61" s="30"/>
      <c r="CT61" s="30"/>
      <c r="CU61" s="56"/>
      <c r="CV61" s="30">
        <f>+B61+D61+J61+L61+P61+R61+T61+V61+Y61+AA61+AC61+AD61+AF61+AG61+AH61+AI61+AK61+AM61+AO61+AQ61+AR61+AT61+AV61+AX61+AY61+BA61+BB61+BD61+BF61+BH61+BJ61+BK61+BN61+BO61+BP61+BQ61+BR61+BV61+BW61+BX61+BZ61+CC61+CD61+CF61+CG61+CH61+CI61+CJ61+CK61+CL61+CM61+CN61+CO61+CP61+CR61+CS61</f>
        <v>0</v>
      </c>
      <c r="CW61" s="30"/>
      <c r="CX61" s="30">
        <f>+D61+AQ61+BJ61+BN61+BR61+BW61+BZ61+CF61+CG61+CJ61+CM61+CN61+CO61+CR61</f>
        <v>0</v>
      </c>
      <c r="CY61" s="30">
        <f>+B61+J61+L61+P61+R61+T61+V61+Y61+AA61+AC61+AD61+AF61+AG61+AH61+AI61+AK61+AM61+AO61+AR61+AT61+AV61+AX61+AY61+BA61+BB61+BD61+BF61+BH61+BK61+BO61+BP61+BQ61+BV61+BX61+CC61+CD61+CH61+CI61+CK61+CL61+CP61+CS61</f>
        <v>0</v>
      </c>
    </row>
    <row r="62" spans="1:103" ht="12.75">
      <c r="A62" s="104" t="s">
        <v>346</v>
      </c>
      <c r="B62" s="133">
        <f>2*('3.2 Yfirlit'!B33-'3.2 Yfirlit'!B31-'3.2 Yfirlit'!B42-('3.2 Yfirlit'!B48+'3.2 Yfirlit'!B52-'3.2 Yfirlit'!B50))</f>
        <v>8408958.243999997</v>
      </c>
      <c r="C62" s="133"/>
      <c r="D62" s="133">
        <f>2*('3.2 Yfirlit'!D33-'3.2 Yfirlit'!D31-'3.2 Yfirlit'!D42-('3.2 Yfirlit'!D48+'3.2 Yfirlit'!D52-'3.2 Yfirlit'!D50))</f>
        <v>7610790</v>
      </c>
      <c r="E62" s="133">
        <f>2*('3.2 Yfirlit'!E33-'3.2 Yfirlit'!E31-'3.2 Yfirlit'!E42-('3.2 Yfirlit'!E48+'3.2 Yfirlit'!E52-'3.2 Yfirlit'!E50))</f>
        <v>7223224</v>
      </c>
      <c r="F62" s="133">
        <f>2*('3.2 Yfirlit'!F33-'3.2 Yfirlit'!F31-'3.2 Yfirlit'!F42-('3.2 Yfirlit'!F48+'3.2 Yfirlit'!F52-'3.2 Yfirlit'!F50))</f>
        <v>459946</v>
      </c>
      <c r="G62" s="133">
        <f>2*('3.2 Yfirlit'!G33-'3.2 Yfirlit'!G31-'3.2 Yfirlit'!G42-('3.2 Yfirlit'!G48+'3.2 Yfirlit'!G52-'3.2 Yfirlit'!G50))</f>
        <v>7994</v>
      </c>
      <c r="H62" s="133">
        <f>2*('3.2 Yfirlit'!H33-'3.2 Yfirlit'!H31-'3.2 Yfirlit'!H42-('3.2 Yfirlit'!H48+'3.2 Yfirlit'!H52-'3.2 Yfirlit'!H50))</f>
        <v>1238</v>
      </c>
      <c r="I62" s="133">
        <f>2*('3.2 Yfirlit'!I33-'3.2 Yfirlit'!I31-'3.2 Yfirlit'!I42-('3.2 Yfirlit'!I48+'3.2 Yfirlit'!I52-'3.2 Yfirlit'!I50))</f>
        <v>-81616</v>
      </c>
      <c r="J62" s="133">
        <f>2*('3.2 Yfirlit'!J33-'3.2 Yfirlit'!J31-'3.2 Yfirlit'!J42-('3.2 Yfirlit'!J48+'3.2 Yfirlit'!J52-'3.2 Yfirlit'!J50))</f>
        <v>3264491.204000001</v>
      </c>
      <c r="K62" s="133"/>
      <c r="L62" s="133">
        <f>2*('3.2 Yfirlit'!L33-'3.2 Yfirlit'!L31-'3.2 Yfirlit'!L42-('3.2 Yfirlit'!L48+'3.2 Yfirlit'!L52-'3.2 Yfirlit'!L50))</f>
        <v>2625503.81</v>
      </c>
      <c r="M62" s="133">
        <f>2*('3.2 Yfirlit'!M33-'3.2 Yfirlit'!M31-'3.2 Yfirlit'!M42-('3.2 Yfirlit'!M48+'3.2 Yfirlit'!M52-'3.2 Yfirlit'!M50))</f>
        <v>2620360.882</v>
      </c>
      <c r="N62" s="133">
        <f>2*('3.2 Yfirlit'!N33-'3.2 Yfirlit'!N31-'3.2 Yfirlit'!N42-('3.2 Yfirlit'!N48+'3.2 Yfirlit'!N52-'3.2 Yfirlit'!N50))</f>
        <v>6430.164000000001</v>
      </c>
      <c r="O62" s="133"/>
      <c r="P62" s="133">
        <f>2*('3.2 Yfirlit'!P33-'3.2 Yfirlit'!P31-'3.2 Yfirlit'!P42-('3.2 Yfirlit'!P48+'3.2 Yfirlit'!P52-'3.2 Yfirlit'!P50))</f>
        <v>2859809.4680000003</v>
      </c>
      <c r="Q62" s="133">
        <f>2*('3.2 Yfirlit'!Q33-'3.2 Yfirlit'!Q31-'3.2 Yfirlit'!Q42-('3.2 Yfirlit'!Q48+'3.2 Yfirlit'!Q52-'3.2 Yfirlit'!Q50))</f>
        <v>248.22</v>
      </c>
      <c r="R62" s="133">
        <f>2*('3.2 Yfirlit'!R33-'3.2 Yfirlit'!R31-'3.2 Yfirlit'!R42-('3.2 Yfirlit'!R48+'3.2 Yfirlit'!R52-'3.2 Yfirlit'!R50))</f>
        <v>584843.0820000002</v>
      </c>
      <c r="S62" s="133"/>
      <c r="T62" s="133">
        <f>2*('3.2 Yfirlit'!T33-'3.2 Yfirlit'!T31-'3.2 Yfirlit'!T42-('3.2 Yfirlit'!T48+'3.2 Yfirlit'!T52-'3.2 Yfirlit'!T50))</f>
        <v>2050705.93</v>
      </c>
      <c r="U62" s="133"/>
      <c r="V62" s="133">
        <f>2*('3.2 Yfirlit'!V33-'3.2 Yfirlit'!V31-'3.2 Yfirlit'!V42-('3.2 Yfirlit'!V48+'3.2 Yfirlit'!V52-'3.2 Yfirlit'!V50))</f>
        <v>489243.808</v>
      </c>
      <c r="W62" s="133">
        <f>2*('3.2 Yfirlit'!W33-'3.2 Yfirlit'!W31-'3.2 Yfirlit'!W42-('3.2 Yfirlit'!W48+'3.2 Yfirlit'!W52-'3.2 Yfirlit'!W50))</f>
        <v>402677.5019999999</v>
      </c>
      <c r="X62" s="133">
        <f>2*('3.2 Yfirlit'!X33-'3.2 Yfirlit'!X31-'3.2 Yfirlit'!X42-('3.2 Yfirlit'!X48+'3.2 Yfirlit'!X52-'3.2 Yfirlit'!X50))</f>
        <v>86566.306</v>
      </c>
      <c r="Y62" s="133">
        <f>2*('3.2 Yfirlit'!Y33-'3.2 Yfirlit'!Y31-'3.2 Yfirlit'!Y42-('3.2 Yfirlit'!Y48+'3.2 Yfirlit'!Y52-'3.2 Yfirlit'!Y50))</f>
        <v>1328150.82</v>
      </c>
      <c r="Z62" s="133"/>
      <c r="AA62" s="133">
        <f>2*('3.2 Yfirlit'!AA33-'3.2 Yfirlit'!AA31-'3.2 Yfirlit'!AA42-('3.2 Yfirlit'!AA48+'3.2 Yfirlit'!AA52-'3.2 Yfirlit'!AA50))</f>
        <v>1795136.096</v>
      </c>
      <c r="AB62" s="133"/>
      <c r="AC62" s="133">
        <f>2*('3.2 Yfirlit'!AC33-'3.2 Yfirlit'!AC31-'3.2 Yfirlit'!AC42-('3.2 Yfirlit'!AC48+'3.2 Yfirlit'!AC52-'3.2 Yfirlit'!AC50))</f>
        <v>-74945.03999999996</v>
      </c>
      <c r="AD62" s="133">
        <f>2*('3.2 Yfirlit'!AD33-'3.2 Yfirlit'!AD31-'3.2 Yfirlit'!AD42-('3.2 Yfirlit'!AD48+'3.2 Yfirlit'!AD52-'3.2 Yfirlit'!AD50))</f>
        <v>-230347.3860000002</v>
      </c>
      <c r="AE62" s="133"/>
      <c r="AF62" s="133">
        <f>2*('3.2 Yfirlit'!AF33-'3.2 Yfirlit'!AF31-'3.2 Yfirlit'!AF42-('3.2 Yfirlit'!AF48+'3.2 Yfirlit'!AF52-'3.2 Yfirlit'!AF50))</f>
        <v>-78688</v>
      </c>
      <c r="AG62" s="133">
        <f>2*('3.2 Yfirlit'!AG33-'3.2 Yfirlit'!AG31-'3.2 Yfirlit'!AG42-('3.2 Yfirlit'!AG48+'3.2 Yfirlit'!AG52-'3.2 Yfirlit'!AG50))</f>
        <v>517941.1019999999</v>
      </c>
      <c r="AH62" s="133">
        <f>2*('3.2 Yfirlit'!AH33-'3.2 Yfirlit'!AH31-'3.2 Yfirlit'!AH42-('3.2 Yfirlit'!AH48+'3.2 Yfirlit'!AH52-'3.2 Yfirlit'!AH50))</f>
        <v>69835.14799999996</v>
      </c>
      <c r="AI62" s="133">
        <f>2*('3.2 Yfirlit'!AI33-'3.2 Yfirlit'!AI31-'3.2 Yfirlit'!AI42-('3.2 Yfirlit'!AI48+'3.2 Yfirlit'!AI52-'3.2 Yfirlit'!AI50))</f>
        <v>-858598.7579999999</v>
      </c>
      <c r="AJ62" s="133"/>
      <c r="AK62" s="133">
        <f>2*('3.2 Yfirlit'!AK33-'3.2 Yfirlit'!AK31-'3.2 Yfirlit'!AK42-('3.2 Yfirlit'!AK48+'3.2 Yfirlit'!AK52-'3.2 Yfirlit'!AK50))</f>
        <v>874128.6879999998</v>
      </c>
      <c r="AL62" s="133"/>
      <c r="AM62" s="133">
        <f>2*('3.2 Yfirlit'!AM33-'3.2 Yfirlit'!AM31-'3.2 Yfirlit'!AM42-('3.2 Yfirlit'!AM48+'3.2 Yfirlit'!AM52-'3.2 Yfirlit'!AM50))</f>
        <v>487888.0620000001</v>
      </c>
      <c r="AN62" s="133"/>
      <c r="AO62" s="133">
        <f>2*('3.2 Yfirlit'!AO33-'3.2 Yfirlit'!AO31-'3.2 Yfirlit'!AO42-('3.2 Yfirlit'!AO48+'3.2 Yfirlit'!AO52-'3.2 Yfirlit'!AO50))</f>
        <v>98068.03599999998</v>
      </c>
      <c r="AP62" s="133"/>
      <c r="AQ62" s="133">
        <f>2*('3.2 Yfirlit'!AQ33-'3.2 Yfirlit'!AQ31-'3.2 Yfirlit'!AQ42-('3.2 Yfirlit'!AQ48+'3.2 Yfirlit'!AQ52-'3.2 Yfirlit'!AQ50))</f>
        <v>662690.6880000001</v>
      </c>
      <c r="AR62" s="133">
        <f>2*('3.2 Yfirlit'!AR33-'3.2 Yfirlit'!AR31-'3.2 Yfirlit'!AR42-('3.2 Yfirlit'!AR48+'3.2 Yfirlit'!AR52-'3.2 Yfirlit'!AR50))</f>
        <v>198595.73600000003</v>
      </c>
      <c r="AS62" s="133"/>
      <c r="AT62" s="133">
        <f>2*('3.2 Yfirlit'!AT33-'3.2 Yfirlit'!AT31-'3.2 Yfirlit'!AT42-('3.2 Yfirlit'!AT48+'3.2 Yfirlit'!AT52-'3.2 Yfirlit'!AT50))</f>
        <v>935147.622</v>
      </c>
      <c r="AU62" s="133"/>
      <c r="AV62" s="133">
        <f>2*('3.2 Yfirlit'!AV33-'3.2 Yfirlit'!AV31-'3.2 Yfirlit'!AV42-('3.2 Yfirlit'!AV48+'3.2 Yfirlit'!AV52-'3.2 Yfirlit'!AV50))</f>
        <v>-427026</v>
      </c>
      <c r="AW62" s="133"/>
      <c r="AX62" s="133">
        <f>2*('3.2 Yfirlit'!AX33-'3.2 Yfirlit'!AX31-'3.2 Yfirlit'!AX42-('3.2 Yfirlit'!AX48+'3.2 Yfirlit'!AX52-'3.2 Yfirlit'!AX50))</f>
        <v>321865.12400000007</v>
      </c>
      <c r="AY62" s="133">
        <f>2*('3.2 Yfirlit'!AY33-'3.2 Yfirlit'!AY31-'3.2 Yfirlit'!AY42-('3.2 Yfirlit'!AY48+'3.2 Yfirlit'!AY52-'3.2 Yfirlit'!AY50))</f>
        <v>49433.172000000006</v>
      </c>
      <c r="AZ62" s="133"/>
      <c r="BA62" s="133">
        <f>2*('3.2 Yfirlit'!BA33-'3.2 Yfirlit'!BA31-'3.2 Yfirlit'!BA42-('3.2 Yfirlit'!BA48+'3.2 Yfirlit'!BA52-'3.2 Yfirlit'!BA50))</f>
        <v>228602.58000000002</v>
      </c>
      <c r="BB62" s="133">
        <f>2*('3.2 Yfirlit'!BB33-'3.2 Yfirlit'!BB31-'3.2 Yfirlit'!BB42-('3.2 Yfirlit'!BB48+'3.2 Yfirlit'!BB52-'3.2 Yfirlit'!BB50))</f>
        <v>-44930.82599999997</v>
      </c>
      <c r="BC62" s="133"/>
      <c r="BD62" s="133">
        <f>2*('3.2 Yfirlit'!BD33-'3.2 Yfirlit'!BD31-'3.2 Yfirlit'!BD42-('3.2 Yfirlit'!BD48+'3.2 Yfirlit'!BD52-'3.2 Yfirlit'!BD50))</f>
        <v>441421.0939999999</v>
      </c>
      <c r="BE62" s="133"/>
      <c r="BF62" s="133">
        <f>2*('3.2 Yfirlit'!BF33-'3.2 Yfirlit'!BF31-'3.2 Yfirlit'!BF42-('3.2 Yfirlit'!BF48+'3.2 Yfirlit'!BF52-'3.2 Yfirlit'!BF50))</f>
        <v>479585.67000000004</v>
      </c>
      <c r="BG62" s="133"/>
      <c r="BH62" s="133">
        <f>2*('3.2 Yfirlit'!BH33-'3.2 Yfirlit'!BH31-'3.2 Yfirlit'!BH42-('3.2 Yfirlit'!BH48+'3.2 Yfirlit'!BH52-'3.2 Yfirlit'!BH50))</f>
        <v>471367.16799999995</v>
      </c>
      <c r="BI62" s="133"/>
      <c r="BJ62" s="133">
        <f>2*('3.2 Yfirlit'!BJ33-'3.2 Yfirlit'!BJ31-'3.2 Yfirlit'!BJ42-('3.2 Yfirlit'!BJ48+'3.2 Yfirlit'!BJ52-'3.2 Yfirlit'!BJ50))</f>
        <v>226800.80399999995</v>
      </c>
      <c r="BK62" s="133">
        <f>2*('3.2 Yfirlit'!BK33-'3.2 Yfirlit'!BK31-'3.2 Yfirlit'!BK42-('3.2 Yfirlit'!BK48+'3.2 Yfirlit'!BK52-'3.2 Yfirlit'!BK50))</f>
        <v>-208369.13199999993</v>
      </c>
      <c r="BL62" s="133">
        <f>2*('3.2 Yfirlit'!BL33-'3.2 Yfirlit'!BL31-'3.2 Yfirlit'!BL42-('3.2 Yfirlit'!BL48+'3.2 Yfirlit'!BL52-'3.2 Yfirlit'!BL50))</f>
        <v>-228328.54999999993</v>
      </c>
      <c r="BM62" s="133">
        <f>2*('3.2 Yfirlit'!BM33-'3.2 Yfirlit'!BM31-'3.2 Yfirlit'!BM42-('3.2 Yfirlit'!BM48+'3.2 Yfirlit'!BM52-'3.2 Yfirlit'!BM50))</f>
        <v>19959.417999999998</v>
      </c>
      <c r="BN62" s="133">
        <f>2*('3.2 Yfirlit'!BN33-'3.2 Yfirlit'!BN31-'3.2 Yfirlit'!BN42-('3.2 Yfirlit'!BN48+'3.2 Yfirlit'!BN52-'3.2 Yfirlit'!BN50))</f>
        <v>51579.08999999999</v>
      </c>
      <c r="BO62" s="133">
        <f>2*('3.2 Yfirlit'!BO33-'3.2 Yfirlit'!BO31-'3.2 Yfirlit'!BO42-('3.2 Yfirlit'!BO48+'3.2 Yfirlit'!BO52-'3.2 Yfirlit'!BO50))</f>
        <v>254939.62</v>
      </c>
      <c r="BP62" s="133">
        <f>2*('3.2 Yfirlit'!BP33-'3.2 Yfirlit'!BP31-'3.2 Yfirlit'!BP42-('3.2 Yfirlit'!BP48+'3.2 Yfirlit'!BP52-'3.2 Yfirlit'!BP50))</f>
        <v>-68967.32800000001</v>
      </c>
      <c r="BQ62" s="133">
        <f>2*('3.2 Yfirlit'!BQ33-'3.2 Yfirlit'!BQ31-'3.2 Yfirlit'!BQ42-('3.2 Yfirlit'!BQ48+'3.2 Yfirlit'!BQ52-'3.2 Yfirlit'!BQ50))</f>
        <v>252645.10600000003</v>
      </c>
      <c r="BR62" s="133">
        <f>2*('3.2 Yfirlit'!BR33-'3.2 Yfirlit'!BR31-'3.2 Yfirlit'!BR42-('3.2 Yfirlit'!BR48+'3.2 Yfirlit'!BR52-'3.2 Yfirlit'!BR50))</f>
        <v>-126644.42000000001</v>
      </c>
      <c r="BS62" s="133">
        <f>2*('3.2 Yfirlit'!BS33-'3.2 Yfirlit'!BS31-'3.2 Yfirlit'!BS42-('3.2 Yfirlit'!BS48+'3.2 Yfirlit'!BS52-'3.2 Yfirlit'!BS50))</f>
        <v>-110090.41599999997</v>
      </c>
      <c r="BT62" s="133">
        <f>2*('3.2 Yfirlit'!BT33-'3.2 Yfirlit'!BT31-'3.2 Yfirlit'!BT42-('3.2 Yfirlit'!BT48+'3.2 Yfirlit'!BT52-'3.2 Yfirlit'!BT50))</f>
        <v>-14963.264</v>
      </c>
      <c r="BU62" s="133"/>
      <c r="BV62" s="133">
        <f>2*('3.2 Yfirlit'!BV33-'3.2 Yfirlit'!BV31-'3.2 Yfirlit'!BV42-('3.2 Yfirlit'!BV48+'3.2 Yfirlit'!BV52-'3.2 Yfirlit'!BV50))</f>
        <v>-68008.538</v>
      </c>
      <c r="BW62" s="133">
        <f>2*('3.2 Yfirlit'!BW33-'3.2 Yfirlit'!BW31-'3.2 Yfirlit'!BW42-('3.2 Yfirlit'!BW48+'3.2 Yfirlit'!BW52-'3.2 Yfirlit'!BW50))</f>
        <v>162875.982</v>
      </c>
      <c r="BX62" s="133">
        <f>2*('3.2 Yfirlit'!BX33-'3.2 Yfirlit'!BX31-'3.2 Yfirlit'!BX42-('3.2 Yfirlit'!BX48+'3.2 Yfirlit'!BX52-'3.2 Yfirlit'!BX50))</f>
        <v>-119715.92599999998</v>
      </c>
      <c r="BY62" s="133"/>
      <c r="BZ62" s="133">
        <f>2*('3.2 Yfirlit'!BZ33-'3.2 Yfirlit'!BZ31-'3.2 Yfirlit'!BZ42-('3.2 Yfirlit'!BZ48+'3.2 Yfirlit'!BZ52-'3.2 Yfirlit'!BZ50))</f>
        <v>97257.01400000001</v>
      </c>
      <c r="CA62" s="133">
        <f>2*('3.2 Yfirlit'!CA33-'3.2 Yfirlit'!CA31-'3.2 Yfirlit'!CA42-('3.2 Yfirlit'!CA48+'3.2 Yfirlit'!CA52-'3.2 Yfirlit'!CA50))</f>
        <v>-11265.121999999974</v>
      </c>
      <c r="CB62" s="133">
        <f>2*('3.2 Yfirlit'!CB33-'3.2 Yfirlit'!CB31-'3.2 Yfirlit'!CB42-('3.2 Yfirlit'!CB48+'3.2 Yfirlit'!CB52-'3.2 Yfirlit'!CB50))</f>
        <v>108522.13599999998</v>
      </c>
      <c r="CC62" s="133">
        <f>2*('3.2 Yfirlit'!CC33-'3.2 Yfirlit'!CC31-'3.2 Yfirlit'!CC42-('3.2 Yfirlit'!CC48+'3.2 Yfirlit'!CC52-'3.2 Yfirlit'!CC50))</f>
        <v>161030.228</v>
      </c>
      <c r="CD62" s="133">
        <f>2*('3.2 Yfirlit'!CD33-'3.2 Yfirlit'!CD31-'3.2 Yfirlit'!CD42-('3.2 Yfirlit'!CD48+'3.2 Yfirlit'!CD52-'3.2 Yfirlit'!CD50))</f>
        <v>-102576.984</v>
      </c>
      <c r="CE62" s="133"/>
      <c r="CF62" s="133">
        <f>2*('3.2 Yfirlit'!CF33-'3.2 Yfirlit'!CF31-'3.2 Yfirlit'!CF42-('3.2 Yfirlit'!CF48+'3.2 Yfirlit'!CF52-'3.2 Yfirlit'!CF50))</f>
        <v>149887.31599999996</v>
      </c>
      <c r="CG62" s="133">
        <f>2*('3.2 Yfirlit'!CG33-'3.2 Yfirlit'!CG31-'3.2 Yfirlit'!CG42-('3.2 Yfirlit'!CG48+'3.2 Yfirlit'!CG52-'3.2 Yfirlit'!CG50))</f>
        <v>142922.08600000004</v>
      </c>
      <c r="CH62" s="133">
        <f>2*('3.2 Yfirlit'!CH33-'3.2 Yfirlit'!CH31-'3.2 Yfirlit'!CH42-('3.2 Yfirlit'!CH48+'3.2 Yfirlit'!CH52-'3.2 Yfirlit'!CH50))</f>
        <v>30903.530000000002</v>
      </c>
      <c r="CI62" s="133">
        <f>2*('3.2 Yfirlit'!CI33-'3.2 Yfirlit'!CI31-'3.2 Yfirlit'!CI42-('3.2 Yfirlit'!CI48+'3.2 Yfirlit'!CI52-'3.2 Yfirlit'!CI50))</f>
        <v>84023.768</v>
      </c>
      <c r="CJ62" s="133">
        <f>2*('3.2 Yfirlit'!CJ33-'3.2 Yfirlit'!CJ31-'3.2 Yfirlit'!CJ42-('3.2 Yfirlit'!CJ48+'3.2 Yfirlit'!CJ52-'3.2 Yfirlit'!CJ50))</f>
        <v>34143.09400000001</v>
      </c>
      <c r="CK62" s="133">
        <f>2*('3.2 Yfirlit'!CK33-'3.2 Yfirlit'!CK31-'3.2 Yfirlit'!CK42-('3.2 Yfirlit'!CK48+'3.2 Yfirlit'!CK52-'3.2 Yfirlit'!CK50))</f>
        <v>37490.112</v>
      </c>
      <c r="CL62" s="133">
        <f>2*('3.2 Yfirlit'!CL33-'3.2 Yfirlit'!CL31-'3.2 Yfirlit'!CL42-('3.2 Yfirlit'!CL48+'3.2 Yfirlit'!CL52-'3.2 Yfirlit'!CL50))</f>
        <v>92970.88800000002</v>
      </c>
      <c r="CM62" s="133">
        <f>2*('3.2 Yfirlit'!CM33-'3.2 Yfirlit'!CM31-'3.2 Yfirlit'!CM42-('3.2 Yfirlit'!CM48+'3.2 Yfirlit'!CM52-'3.2 Yfirlit'!CM50))</f>
        <v>38602.024</v>
      </c>
      <c r="CN62" s="133">
        <f>2*('3.2 Yfirlit'!CN33-'3.2 Yfirlit'!CN31-'3.2 Yfirlit'!CN42-('3.2 Yfirlit'!CN48+'3.2 Yfirlit'!CN52-'3.2 Yfirlit'!CN50))</f>
        <v>12273.54</v>
      </c>
      <c r="CO62" s="133">
        <f>2*('3.2 Yfirlit'!CO33-'3.2 Yfirlit'!CO31-'3.2 Yfirlit'!CO42-('3.2 Yfirlit'!CO48+'3.2 Yfirlit'!CO52-'3.2 Yfirlit'!CO50))</f>
        <v>14671.92</v>
      </c>
      <c r="CP62" s="133">
        <f>2*('3.2 Yfirlit'!CP33-'3.2 Yfirlit'!CP31-'3.2 Yfirlit'!CP42-('3.2 Yfirlit'!CP48+'3.2 Yfirlit'!CP52-'3.2 Yfirlit'!CP50))</f>
        <v>16890.933999999997</v>
      </c>
      <c r="CQ62" s="133"/>
      <c r="CR62" s="133">
        <f>2*('3.2 Yfirlit'!CR33-'3.2 Yfirlit'!CR31-'3.2 Yfirlit'!CR42-('3.2 Yfirlit'!CR48+'3.2 Yfirlit'!CR52-'3.2 Yfirlit'!CR50))</f>
        <v>11511.806</v>
      </c>
      <c r="CS62" s="133">
        <f>2*('3.2 Yfirlit'!CS33-'3.2 Yfirlit'!CS31-'3.2 Yfirlit'!CS42-('3.2 Yfirlit'!CS48+'3.2 Yfirlit'!CS52-'3.2 Yfirlit'!CS50))</f>
        <v>222.72599999999994</v>
      </c>
      <c r="CT62" s="133"/>
      <c r="CU62" s="133"/>
      <c r="CV62" s="30">
        <f>+B62+D62+J62+L62+P62+R62+T62+V62+Y62+AA62+AC62+AD62+AF62+AG62+AH62+AI62+AK62+AM62+AO62+AQ62+AR62+AT62+AV62+AX62+AY62+BA62+BB62+BD62+BF62+BH62+BJ62+BK62+BN62+BO62+BP62+BQ62+BR62+BV62+BW62+BX62+BZ62+CC62+CD62+CF62+CG62+CH62+CI62+CJ62+CK62+CL62+CM62+CN62+CO62+CP62+CR62+CS62</f>
        <v>36319025.60199999</v>
      </c>
      <c r="CW62" s="30"/>
      <c r="CX62" s="30">
        <f>+D62+AQ62+BJ62+BN62+BR62+BW62+BZ62+CF62+CG62+CJ62+CM62+CN62+CO62+CR62</f>
        <v>9089360.944</v>
      </c>
      <c r="CY62" s="30">
        <f>+B62+J62+L62+P62+R62+T62+V62+Y62+AA62+AC62+AD62+AF62+AG62+AH62+AI62+AK62+AM62+AO62+AR62+AT62+AV62+AX62+AY62+BA62+BB62+BD62+BF62+BH62+BK62+BO62+BP62+BQ62+BV62+BX62+CC62+CD62+CH62+CI62+CK62+CL62+CP62+CS62</f>
        <v>27229664.657999996</v>
      </c>
    </row>
    <row r="63" spans="1:103" ht="12.75">
      <c r="A63" s="46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K63" s="213"/>
      <c r="AL63" s="213"/>
      <c r="AM63" s="213"/>
      <c r="AN63" s="213"/>
      <c r="AO63" s="213"/>
      <c r="AP63" s="213"/>
      <c r="AQ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213"/>
      <c r="BW63" s="213"/>
      <c r="BZ63" s="213"/>
      <c r="CA63" s="213"/>
      <c r="CB63" s="213"/>
      <c r="CC63" s="213"/>
      <c r="CD63" s="213"/>
      <c r="CE63" s="213"/>
      <c r="CF63" s="213"/>
      <c r="CG63" s="213"/>
      <c r="CH63" s="213"/>
      <c r="CI63" s="213"/>
      <c r="CJ63" s="213"/>
      <c r="CL63" s="133"/>
      <c r="CM63" s="133"/>
      <c r="CN63" s="133"/>
      <c r="CO63" s="133"/>
      <c r="CP63" s="56"/>
      <c r="CQ63" s="56"/>
      <c r="CR63" s="30"/>
      <c r="CS63" s="30"/>
      <c r="CT63" s="30"/>
      <c r="CU63" s="56"/>
      <c r="CV63" s="30">
        <f>+B63+D63+J63+L63+P63+R63+T63+V63+Y63+AA63+AC63+AD63+AF63+AG63+AH63+AI63+AK63+AM63+AO63+AQ63+AR63+AT63+AV63+AX63+AY63+BA63+BB63+BD63+BF63+BH63+BJ63+BK63+BN63+BO63+BP63+BQ63+BR63+BV63+BW63+BX63+BZ63+CC63+CD63+CF63+CG63+CH63+CI63+CJ63+CK63+CL63+CM63+CN63+CO63+CP63+CR63+CS63</f>
        <v>0</v>
      </c>
      <c r="CW63" s="30"/>
      <c r="CX63" s="30">
        <f>+D63+AQ63+BJ63+BN63+BR63+BW63+BZ63+CF63+CG63+CJ63+CM63+CN63+CO63+CR63</f>
        <v>0</v>
      </c>
      <c r="CY63" s="30">
        <f>+B63+J63+L63+P63+R63+T63+V63+Y63+AA63+AC63+AD63+AF63+AG63+AH63+AI63+AK63+AM63+AO63+AR63+AT63+AV63+AX63+AY63+BA63+BB63+BD63+BF63+BH63+BK63+BO63+BP63+BQ63+BV63+BX63+CC63+CD63+CH63+CI63+CK63+CL63+CP63+CS63</f>
        <v>0</v>
      </c>
    </row>
    <row r="64" spans="1:103" ht="12.75">
      <c r="A64" s="104" t="s">
        <v>151</v>
      </c>
      <c r="CL64" s="133"/>
      <c r="CM64" s="133"/>
      <c r="CN64" s="133"/>
      <c r="CO64" s="133"/>
      <c r="CP64" s="56"/>
      <c r="CQ64" s="56"/>
      <c r="CR64" s="30"/>
      <c r="CS64" s="30"/>
      <c r="CT64" s="30"/>
      <c r="CU64" s="56"/>
      <c r="CV64" s="30">
        <f>+B64+D64+J64+L64+P64+R64+T64+V64+Y64+AA64+AC64+AD64+AF64+AG64+AH64+AI64+AK64+AM64+AO64+AQ64+AR64+AT64+AV64+AX64+AY64+BA64+BB64+BD64+BF64+BH64+BJ64+BK64+BN64+BO64+BP64+BQ64+BR64+BV64+BW64+BX64+BZ64+CC64+CD64+CF64+CG64+CH64+CI64+CJ64+CK64+CL64+CM64+CN64+CO64+CP64+CR64+CS64</f>
        <v>0</v>
      </c>
      <c r="CW64" s="30"/>
      <c r="CX64" s="30">
        <f>+D64+AQ64+BJ64+BN64+BR64+BW64+BZ64+CF64+CG64+CJ64+CM64+CN64+CO64+CR64</f>
        <v>0</v>
      </c>
      <c r="CY64" s="30">
        <f>+B64+J64+L64+P64+R64+T64+V64+Y64+AA64+AC64+AD64+AF64+AG64+AH64+AI64+AK64+AM64+AO64+AR64+AT64+AV64+AX64+AY64+BA64+BB64+BD64+BF64+BH64+BK64+BO64+BP64+BQ64+BV64+BX64+CC64+CD64+CH64+CI64+CK64+CL64+CP64+CS64</f>
        <v>0</v>
      </c>
    </row>
    <row r="65" spans="1:103" ht="12.75">
      <c r="A65" s="104" t="s">
        <v>152</v>
      </c>
      <c r="B65" s="133">
        <f>'3.2 Yfirlit'!B65+'3.2 Yfirlit'!B68-('3.2 Yfirlit'!B33-'3.2 Yfirlit'!B31-'3.2 Yfirlit'!B42-('3.2 Yfirlit'!B48+'3.2 Yfirlit'!B52-'3.2 Yfirlit'!B50))</f>
        <v>158660519.964</v>
      </c>
      <c r="C65" s="133"/>
      <c r="D65" s="133">
        <f>'3.2 Yfirlit'!D65+'3.2 Yfirlit'!D68-('3.2 Yfirlit'!D33-'3.2 Yfirlit'!D31-'3.2 Yfirlit'!D42-('3.2 Yfirlit'!D48+'3.2 Yfirlit'!D52-'3.2 Yfirlit'!D50))</f>
        <v>133388342.36199999</v>
      </c>
      <c r="E65" s="133">
        <f>'3.2 Yfirlit'!E65+'3.2 Yfirlit'!E68-('3.2 Yfirlit'!E33-'3.2 Yfirlit'!E31-'3.2 Yfirlit'!E42-('3.2 Yfirlit'!E48+'3.2 Yfirlit'!E52-'3.2 Yfirlit'!E50))</f>
        <v>112248130</v>
      </c>
      <c r="F65" s="133">
        <f>'3.2 Yfirlit'!F65+'3.2 Yfirlit'!F68-('3.2 Yfirlit'!F33-'3.2 Yfirlit'!F31-'3.2 Yfirlit'!F42-('3.2 Yfirlit'!F48+'3.2 Yfirlit'!F52-'3.2 Yfirlit'!F50))</f>
        <v>20312788</v>
      </c>
      <c r="G65" s="133">
        <f>'3.2 Yfirlit'!G65+'3.2 Yfirlit'!G68-('3.2 Yfirlit'!G33-'3.2 Yfirlit'!G31-'3.2 Yfirlit'!G42-('3.2 Yfirlit'!G48+'3.2 Yfirlit'!G52-'3.2 Yfirlit'!G50))</f>
        <v>111518</v>
      </c>
      <c r="H65" s="133">
        <f>'3.2 Yfirlit'!H65+'3.2 Yfirlit'!H68-('3.2 Yfirlit'!H33-'3.2 Yfirlit'!H31-'3.2 Yfirlit'!H42-('3.2 Yfirlit'!H48+'3.2 Yfirlit'!H52-'3.2 Yfirlit'!H50))</f>
        <v>19174</v>
      </c>
      <c r="I65" s="133">
        <f>'3.2 Yfirlit'!I65+'3.2 Yfirlit'!I68-('3.2 Yfirlit'!I33-'3.2 Yfirlit'!I31-'3.2 Yfirlit'!I42-('3.2 Yfirlit'!I48+'3.2 Yfirlit'!I52-'3.2 Yfirlit'!I50))</f>
        <v>696735</v>
      </c>
      <c r="J65" s="133">
        <f>'3.2 Yfirlit'!J65+'3.2 Yfirlit'!J68-('3.2 Yfirlit'!J33-'3.2 Yfirlit'!J31-'3.2 Yfirlit'!J42-('3.2 Yfirlit'!J48+'3.2 Yfirlit'!J52-'3.2 Yfirlit'!J50))</f>
        <v>92030877.003</v>
      </c>
      <c r="K65" s="133"/>
      <c r="L65" s="133">
        <f>'3.2 Yfirlit'!L65+'3.2 Yfirlit'!L68-('3.2 Yfirlit'!L33-'3.2 Yfirlit'!L31-'3.2 Yfirlit'!L42-('3.2 Yfirlit'!L48+'3.2 Yfirlit'!L52-'3.2 Yfirlit'!L50))</f>
        <v>80316996.09099999</v>
      </c>
      <c r="M65" s="133">
        <f>'3.2 Yfirlit'!M65+'3.2 Yfirlit'!M68-('3.2 Yfirlit'!M33-'3.2 Yfirlit'!M31-'3.2 Yfirlit'!M42-('3.2 Yfirlit'!M48+'3.2 Yfirlit'!M52-'3.2 Yfirlit'!M50))</f>
        <v>80127407.85200001</v>
      </c>
      <c r="N65" s="133">
        <f>'3.2 Yfirlit'!N65+'3.2 Yfirlit'!N68-('3.2 Yfirlit'!N33-'3.2 Yfirlit'!N31-'3.2 Yfirlit'!N42-('3.2 Yfirlit'!N48+'3.2 Yfirlit'!N52-'3.2 Yfirlit'!N50))</f>
        <v>103618.62899999999</v>
      </c>
      <c r="O65" s="133"/>
      <c r="P65" s="133">
        <f>'3.2 Yfirlit'!P65+'3.2 Yfirlit'!P68-('3.2 Yfirlit'!P33-'3.2 Yfirlit'!P31-'3.2 Yfirlit'!P42-('3.2 Yfirlit'!P48+'3.2 Yfirlit'!P52-'3.2 Yfirlit'!P50))</f>
        <v>78670853.68100001</v>
      </c>
      <c r="Q65" s="133">
        <f>'3.2 Yfirlit'!Q65+'3.2 Yfirlit'!Q68-('3.2 Yfirlit'!Q33-'3.2 Yfirlit'!Q31-'3.2 Yfirlit'!Q42-('3.2 Yfirlit'!Q48+'3.2 Yfirlit'!Q52-'3.2 Yfirlit'!Q50))</f>
        <v>4095.247</v>
      </c>
      <c r="R65" s="133">
        <f>'3.2 Yfirlit'!R65+'3.2 Yfirlit'!R68-('3.2 Yfirlit'!R33-'3.2 Yfirlit'!R31-'3.2 Yfirlit'!R42-('3.2 Yfirlit'!R48+'3.2 Yfirlit'!R52-'3.2 Yfirlit'!R50))</f>
        <v>37944863.561</v>
      </c>
      <c r="S65" s="133"/>
      <c r="T65" s="133">
        <f>'3.2 Yfirlit'!T65+'3.2 Yfirlit'!T68-('3.2 Yfirlit'!T33-'3.2 Yfirlit'!T31-'3.2 Yfirlit'!T42-('3.2 Yfirlit'!T48+'3.2 Yfirlit'!T52-'3.2 Yfirlit'!T50))</f>
        <v>35487297.76799999</v>
      </c>
      <c r="U65" s="133"/>
      <c r="V65" s="133">
        <f>'3.2 Yfirlit'!V65+'3.2 Yfirlit'!V68-('3.2 Yfirlit'!V33-'3.2 Yfirlit'!V31-'3.2 Yfirlit'!V42-('3.2 Yfirlit'!V48+'3.2 Yfirlit'!V52-'3.2 Yfirlit'!V50))</f>
        <v>34506945.015</v>
      </c>
      <c r="W65" s="133">
        <f>'3.2 Yfirlit'!W65+'3.2 Yfirlit'!W68-('3.2 Yfirlit'!W33-'3.2 Yfirlit'!W31-'3.2 Yfirlit'!W42-('3.2 Yfirlit'!W48+'3.2 Yfirlit'!W52-'3.2 Yfirlit'!W50))</f>
        <v>29897935.493</v>
      </c>
      <c r="X65" s="133">
        <f>'3.2 Yfirlit'!X65+'3.2 Yfirlit'!X68-('3.2 Yfirlit'!X33-'3.2 Yfirlit'!X31-'3.2 Yfirlit'!X42-('3.2 Yfirlit'!X48+'3.2 Yfirlit'!X52-'3.2 Yfirlit'!X50))</f>
        <v>4609009.524</v>
      </c>
      <c r="Y65" s="133">
        <f>'3.2 Yfirlit'!Y65+'3.2 Yfirlit'!Y68-('3.2 Yfirlit'!Y33-'3.2 Yfirlit'!Y31-'3.2 Yfirlit'!Y42-('3.2 Yfirlit'!Y48+'3.2 Yfirlit'!Y52-'3.2 Yfirlit'!Y50))</f>
        <v>30157124.823000003</v>
      </c>
      <c r="Z65" s="133"/>
      <c r="AA65" s="133">
        <f>'3.2 Yfirlit'!AA65+'3.2 Yfirlit'!AA68-('3.2 Yfirlit'!AA33-'3.2 Yfirlit'!AA31-'3.2 Yfirlit'!AA42-('3.2 Yfirlit'!AA48+'3.2 Yfirlit'!AA52-'3.2 Yfirlit'!AA50))</f>
        <v>29275463.912</v>
      </c>
      <c r="AB65" s="133"/>
      <c r="AC65" s="133">
        <f>'3.2 Yfirlit'!AC65+'3.2 Yfirlit'!AC68-('3.2 Yfirlit'!AC33-'3.2 Yfirlit'!AC31-'3.2 Yfirlit'!AC42-('3.2 Yfirlit'!AC48+'3.2 Yfirlit'!AC52-'3.2 Yfirlit'!AC50))</f>
        <v>27361040.99</v>
      </c>
      <c r="AD65" s="133">
        <f>'3.2 Yfirlit'!AD65+'3.2 Yfirlit'!AD68-('3.2 Yfirlit'!AD33-'3.2 Yfirlit'!AD31-'3.2 Yfirlit'!AD42-('3.2 Yfirlit'!AD48+'3.2 Yfirlit'!AD52-'3.2 Yfirlit'!AD50))</f>
        <v>24511786.363999996</v>
      </c>
      <c r="AE65" s="133"/>
      <c r="AF65" s="133">
        <f>'3.2 Yfirlit'!AF65+'3.2 Yfirlit'!AF68-('3.2 Yfirlit'!AF33-'3.2 Yfirlit'!AF31-'3.2 Yfirlit'!AF42-('3.2 Yfirlit'!AF48+'3.2 Yfirlit'!AF52-'3.2 Yfirlit'!AF50))</f>
        <v>23160365.402</v>
      </c>
      <c r="AG65" s="133">
        <f>'3.2 Yfirlit'!AG65+'3.2 Yfirlit'!AG68-('3.2 Yfirlit'!AG33-'3.2 Yfirlit'!AG31-'3.2 Yfirlit'!AG42-('3.2 Yfirlit'!AG48+'3.2 Yfirlit'!AG52-'3.2 Yfirlit'!AG50))</f>
        <v>22639055.987999998</v>
      </c>
      <c r="AH65" s="133">
        <f>'3.2 Yfirlit'!AH65+'3.2 Yfirlit'!AH68-('3.2 Yfirlit'!AH33-'3.2 Yfirlit'!AH31-'3.2 Yfirlit'!AH42-('3.2 Yfirlit'!AH48+'3.2 Yfirlit'!AH52-'3.2 Yfirlit'!AH50))</f>
        <v>21634699.81</v>
      </c>
      <c r="AI65" s="133">
        <f>'3.2 Yfirlit'!AI65+'3.2 Yfirlit'!AI68-('3.2 Yfirlit'!AI33-'3.2 Yfirlit'!AI31-'3.2 Yfirlit'!AI42-('3.2 Yfirlit'!AI48+'3.2 Yfirlit'!AI52-'3.2 Yfirlit'!AI50))</f>
        <v>21380743.626000002</v>
      </c>
      <c r="AJ65" s="133"/>
      <c r="AK65" s="133">
        <f>'3.2 Yfirlit'!AK65+'3.2 Yfirlit'!AK68-('3.2 Yfirlit'!AK33-'3.2 Yfirlit'!AK31-'3.2 Yfirlit'!AK42-('3.2 Yfirlit'!AK48+'3.2 Yfirlit'!AK52-'3.2 Yfirlit'!AK50))</f>
        <v>19063592.025000002</v>
      </c>
      <c r="AL65" s="133"/>
      <c r="AM65" s="133">
        <f>'3.2 Yfirlit'!AM65+'3.2 Yfirlit'!AM68-('3.2 Yfirlit'!AM33-'3.2 Yfirlit'!AM31-'3.2 Yfirlit'!AM42-('3.2 Yfirlit'!AM48+'3.2 Yfirlit'!AM52-'3.2 Yfirlit'!AM50))</f>
        <v>16082754.452</v>
      </c>
      <c r="AN65" s="133"/>
      <c r="AO65" s="133">
        <f>'3.2 Yfirlit'!AO65+'3.2 Yfirlit'!AO68-('3.2 Yfirlit'!AO33-'3.2 Yfirlit'!AO31-'3.2 Yfirlit'!AO42-('3.2 Yfirlit'!AO48+'3.2 Yfirlit'!AO52-'3.2 Yfirlit'!AO50))</f>
        <v>15072129.379</v>
      </c>
      <c r="AP65" s="133"/>
      <c r="AQ65" s="133">
        <f>'3.2 Yfirlit'!AQ65+'3.2 Yfirlit'!AQ68-('3.2 Yfirlit'!AQ33-'3.2 Yfirlit'!AQ31-'3.2 Yfirlit'!AQ42-('3.2 Yfirlit'!AQ48+'3.2 Yfirlit'!AQ52-'3.2 Yfirlit'!AQ50))</f>
        <v>13493211.115999999</v>
      </c>
      <c r="AR65" s="133">
        <f>'3.2 Yfirlit'!AR65+'3.2 Yfirlit'!AR68-('3.2 Yfirlit'!AR33-'3.2 Yfirlit'!AR31-'3.2 Yfirlit'!AR42-('3.2 Yfirlit'!AR48+'3.2 Yfirlit'!AR52-'3.2 Yfirlit'!AR50))</f>
        <v>13990032.813999997</v>
      </c>
      <c r="AS65" s="133"/>
      <c r="AT65" s="133">
        <f>'3.2 Yfirlit'!AT65+'3.2 Yfirlit'!AT68-('3.2 Yfirlit'!AT33-'3.2 Yfirlit'!AT31-'3.2 Yfirlit'!AT42-('3.2 Yfirlit'!AT48+'3.2 Yfirlit'!AT52-'3.2 Yfirlit'!AT50))</f>
        <v>12459273.501</v>
      </c>
      <c r="AU65" s="133"/>
      <c r="AV65" s="133">
        <f>'3.2 Yfirlit'!AV65+'3.2 Yfirlit'!AV68-('3.2 Yfirlit'!AV33-'3.2 Yfirlit'!AV31-'3.2 Yfirlit'!AV42-('3.2 Yfirlit'!AV48+'3.2 Yfirlit'!AV52-'3.2 Yfirlit'!AV50))</f>
        <v>12111281</v>
      </c>
      <c r="AW65" s="133"/>
      <c r="AX65" s="133">
        <f>'3.2 Yfirlit'!AX65+'3.2 Yfirlit'!AX68-('3.2 Yfirlit'!AX33-'3.2 Yfirlit'!AX31-'3.2 Yfirlit'!AX42-('3.2 Yfirlit'!AX48+'3.2 Yfirlit'!AX52-'3.2 Yfirlit'!AX50))</f>
        <v>11888760.479</v>
      </c>
      <c r="AY65" s="133">
        <f>'3.2 Yfirlit'!AY65+'3.2 Yfirlit'!AY68-('3.2 Yfirlit'!AY33-'3.2 Yfirlit'!AY31-'3.2 Yfirlit'!AY42-('3.2 Yfirlit'!AY48+'3.2 Yfirlit'!AY52-'3.2 Yfirlit'!AY50))</f>
        <v>10629075.335</v>
      </c>
      <c r="AZ65" s="133"/>
      <c r="BA65" s="133">
        <f>'3.2 Yfirlit'!BA65+'3.2 Yfirlit'!BA68-('3.2 Yfirlit'!BA33-'3.2 Yfirlit'!BA31-'3.2 Yfirlit'!BA42-('3.2 Yfirlit'!BA48+'3.2 Yfirlit'!BA52-'3.2 Yfirlit'!BA50))</f>
        <v>10033924.946</v>
      </c>
      <c r="BB65" s="133">
        <f>'3.2 Yfirlit'!BB65+'3.2 Yfirlit'!BB68-('3.2 Yfirlit'!BB33-'3.2 Yfirlit'!BB31-'3.2 Yfirlit'!BB42-('3.2 Yfirlit'!BB48+'3.2 Yfirlit'!BB52-'3.2 Yfirlit'!BB50))</f>
        <v>7368628.511999999</v>
      </c>
      <c r="BC65" s="133"/>
      <c r="BD65" s="133">
        <f>'3.2 Yfirlit'!BD65+'3.2 Yfirlit'!BD68-('3.2 Yfirlit'!BD33-'3.2 Yfirlit'!BD31-'3.2 Yfirlit'!BD42-('3.2 Yfirlit'!BD48+'3.2 Yfirlit'!BD52-'3.2 Yfirlit'!BD50))</f>
        <v>6100824.345000001</v>
      </c>
      <c r="BE65" s="133"/>
      <c r="BF65" s="133">
        <f>'3.2 Yfirlit'!BF65+'3.2 Yfirlit'!BF68-('3.2 Yfirlit'!BF33-'3.2 Yfirlit'!BF31-'3.2 Yfirlit'!BF42-('3.2 Yfirlit'!BF48+'3.2 Yfirlit'!BF52-'3.2 Yfirlit'!BF50))</f>
        <v>5848660.515</v>
      </c>
      <c r="BG65" s="133"/>
      <c r="BH65" s="133">
        <f>'3.2 Yfirlit'!BH65+'3.2 Yfirlit'!BH68-('3.2 Yfirlit'!BH33-'3.2 Yfirlit'!BH31-'3.2 Yfirlit'!BH42-('3.2 Yfirlit'!BH48+'3.2 Yfirlit'!BH52-'3.2 Yfirlit'!BH50))</f>
        <v>5708404.385000001</v>
      </c>
      <c r="BI65" s="133"/>
      <c r="BJ65" s="133">
        <f>'3.2 Yfirlit'!BJ65+'3.2 Yfirlit'!BJ68-('3.2 Yfirlit'!BJ33-'3.2 Yfirlit'!BJ31-'3.2 Yfirlit'!BJ42-('3.2 Yfirlit'!BJ48+'3.2 Yfirlit'!BJ52-'3.2 Yfirlit'!BJ50))</f>
        <v>5898169.5430000005</v>
      </c>
      <c r="BK65" s="133">
        <f>'3.2 Yfirlit'!BK65+'3.2 Yfirlit'!BK68-('3.2 Yfirlit'!BK33-'3.2 Yfirlit'!BK31-'3.2 Yfirlit'!BK42-('3.2 Yfirlit'!BK48+'3.2 Yfirlit'!BK52-'3.2 Yfirlit'!BK50))</f>
        <v>5360608.130999999</v>
      </c>
      <c r="BL65" s="133">
        <f>'3.2 Yfirlit'!BL65+'3.2 Yfirlit'!BL68-('3.2 Yfirlit'!BL33-'3.2 Yfirlit'!BL31-'3.2 Yfirlit'!BL42-('3.2 Yfirlit'!BL48+'3.2 Yfirlit'!BL52-'3.2 Yfirlit'!BL50))</f>
        <v>4911218.84</v>
      </c>
      <c r="BM65" s="133">
        <f>'3.2 Yfirlit'!BM65+'3.2 Yfirlit'!BM68-('3.2 Yfirlit'!BM33-'3.2 Yfirlit'!BM31-'3.2 Yfirlit'!BM42-('3.2 Yfirlit'!BM48+'3.2 Yfirlit'!BM52-'3.2 Yfirlit'!BM50))</f>
        <v>449389.291</v>
      </c>
      <c r="BN65" s="133">
        <f>'3.2 Yfirlit'!BN65+'3.2 Yfirlit'!BN68-('3.2 Yfirlit'!BN33-'3.2 Yfirlit'!BN31-'3.2 Yfirlit'!BN42-('3.2 Yfirlit'!BN48+'3.2 Yfirlit'!BN52-'3.2 Yfirlit'!BN50))</f>
        <v>4878915.093</v>
      </c>
      <c r="BO65" s="133">
        <f>'3.2 Yfirlit'!BO65+'3.2 Yfirlit'!BO68-('3.2 Yfirlit'!BO33-'3.2 Yfirlit'!BO31-'3.2 Yfirlit'!BO42-('3.2 Yfirlit'!BO48+'3.2 Yfirlit'!BO52-'3.2 Yfirlit'!BO50))</f>
        <v>3807709.361</v>
      </c>
      <c r="BP65" s="133">
        <f>'3.2 Yfirlit'!BP65+'3.2 Yfirlit'!BP68-('3.2 Yfirlit'!BP33-'3.2 Yfirlit'!BP31-'3.2 Yfirlit'!BP42-('3.2 Yfirlit'!BP48+'3.2 Yfirlit'!BP52-'3.2 Yfirlit'!BP50))</f>
        <v>3981019.715</v>
      </c>
      <c r="BQ65" s="133">
        <f>'3.2 Yfirlit'!BQ65+'3.2 Yfirlit'!BQ68-('3.2 Yfirlit'!BQ33-'3.2 Yfirlit'!BQ31-'3.2 Yfirlit'!BQ42-('3.2 Yfirlit'!BQ48+'3.2 Yfirlit'!BQ52-'3.2 Yfirlit'!BQ50))</f>
        <v>3394759.639</v>
      </c>
      <c r="BR65" s="133">
        <f>'3.2 Yfirlit'!BR65+'3.2 Yfirlit'!BR68-('3.2 Yfirlit'!BR33-'3.2 Yfirlit'!BR31-'3.2 Yfirlit'!BR42-('3.2 Yfirlit'!BR48+'3.2 Yfirlit'!BR52-'3.2 Yfirlit'!BR50))</f>
        <v>2122428.238</v>
      </c>
      <c r="BS65" s="133">
        <f>'3.2 Yfirlit'!BS65+'3.2 Yfirlit'!BS68-('3.2 Yfirlit'!BS33-'3.2 Yfirlit'!BS31-'3.2 Yfirlit'!BS42-('3.2 Yfirlit'!BS48+'3.2 Yfirlit'!BS52-'3.2 Yfirlit'!BS50))</f>
        <v>1848463.3590000002</v>
      </c>
      <c r="BT65" s="133">
        <f>'3.2 Yfirlit'!BT65+'3.2 Yfirlit'!BT68-('3.2 Yfirlit'!BT33-'3.2 Yfirlit'!BT31-'3.2 Yfirlit'!BT42-('3.2 Yfirlit'!BT48+'3.2 Yfirlit'!BT52-'3.2 Yfirlit'!BT50))</f>
        <v>246585.726</v>
      </c>
      <c r="BU65" s="133"/>
      <c r="BV65" s="133">
        <f>'3.2 Yfirlit'!BV65+'3.2 Yfirlit'!BV68-('3.2 Yfirlit'!BV33-'3.2 Yfirlit'!BV31-'3.2 Yfirlit'!BV42-('3.2 Yfirlit'!BV48+'3.2 Yfirlit'!BV52-'3.2 Yfirlit'!BV50))</f>
        <v>2980775.914</v>
      </c>
      <c r="BW65" s="133">
        <f>'3.2 Yfirlit'!BW65+'3.2 Yfirlit'!BW68-('3.2 Yfirlit'!BW33-'3.2 Yfirlit'!BW31-'3.2 Yfirlit'!BW42-('3.2 Yfirlit'!BW48+'3.2 Yfirlit'!BW52-'3.2 Yfirlit'!BW50))</f>
        <v>2522661.7509999997</v>
      </c>
      <c r="BX65" s="133">
        <f>'3.2 Yfirlit'!BX65+'3.2 Yfirlit'!BX68-('3.2 Yfirlit'!BX33-'3.2 Yfirlit'!BX31-'3.2 Yfirlit'!BX42-('3.2 Yfirlit'!BX48+'3.2 Yfirlit'!BX52-'3.2 Yfirlit'!BX50))</f>
        <v>2404622.797</v>
      </c>
      <c r="BY65" s="133"/>
      <c r="BZ65" s="133">
        <f>'3.2 Yfirlit'!BZ65+'3.2 Yfirlit'!BZ68-('3.2 Yfirlit'!BZ33-'3.2 Yfirlit'!BZ31-'3.2 Yfirlit'!BZ42-('3.2 Yfirlit'!BZ48+'3.2 Yfirlit'!BZ52-'3.2 Yfirlit'!BZ50))</f>
        <v>2347491.885</v>
      </c>
      <c r="CA65" s="133">
        <f>'3.2 Yfirlit'!CA65+'3.2 Yfirlit'!CA68-('3.2 Yfirlit'!CA33-'3.2 Yfirlit'!CA31-'3.2 Yfirlit'!CA42-('3.2 Yfirlit'!CA48+'3.2 Yfirlit'!CA52-'3.2 Yfirlit'!CA50))</f>
        <v>169827.25300000008</v>
      </c>
      <c r="CB65" s="133">
        <f>'3.2 Yfirlit'!CB65+'3.2 Yfirlit'!CB68-('3.2 Yfirlit'!CB33-'3.2 Yfirlit'!CB31-'3.2 Yfirlit'!CB42-('3.2 Yfirlit'!CB48+'3.2 Yfirlit'!CB52-'3.2 Yfirlit'!CB50))</f>
        <v>2177664.6319999998</v>
      </c>
      <c r="CC65" s="133">
        <f>'3.2 Yfirlit'!CC65+'3.2 Yfirlit'!CC68-('3.2 Yfirlit'!CC33-'3.2 Yfirlit'!CC31-'3.2 Yfirlit'!CC42-('3.2 Yfirlit'!CC48+'3.2 Yfirlit'!CC52-'3.2 Yfirlit'!CC50))</f>
        <v>2263801.989</v>
      </c>
      <c r="CD65" s="133">
        <f>'3.2 Yfirlit'!CD65+'3.2 Yfirlit'!CD68-('3.2 Yfirlit'!CD33-'3.2 Yfirlit'!CD31-'3.2 Yfirlit'!CD42-('3.2 Yfirlit'!CD48+'3.2 Yfirlit'!CD52-'3.2 Yfirlit'!CD50))</f>
        <v>2191068.646</v>
      </c>
      <c r="CE65" s="133"/>
      <c r="CF65" s="133">
        <f>'3.2 Yfirlit'!CF65+'3.2 Yfirlit'!CF68-('3.2 Yfirlit'!CF33-'3.2 Yfirlit'!CF31-'3.2 Yfirlit'!CF42-('3.2 Yfirlit'!CF48+'3.2 Yfirlit'!CF52-'3.2 Yfirlit'!CF50))</f>
        <v>1968498.859</v>
      </c>
      <c r="CG65" s="133">
        <f>'3.2 Yfirlit'!CG65+'3.2 Yfirlit'!CG68-('3.2 Yfirlit'!CG33-'3.2 Yfirlit'!CG31-'3.2 Yfirlit'!CG42-('3.2 Yfirlit'!CG48+'3.2 Yfirlit'!CG52-'3.2 Yfirlit'!CG50))</f>
        <v>1407530.3699999999</v>
      </c>
      <c r="CH65" s="133">
        <f>'3.2 Yfirlit'!CH65+'3.2 Yfirlit'!CH68-('3.2 Yfirlit'!CH33-'3.2 Yfirlit'!CH31-'3.2 Yfirlit'!CH42-('3.2 Yfirlit'!CH48+'3.2 Yfirlit'!CH52-'3.2 Yfirlit'!CH50))</f>
        <v>1285565.66</v>
      </c>
      <c r="CI65" s="133">
        <f>'3.2 Yfirlit'!CI65+'3.2 Yfirlit'!CI68-('3.2 Yfirlit'!CI33-'3.2 Yfirlit'!CI31-'3.2 Yfirlit'!CI42-('3.2 Yfirlit'!CI48+'3.2 Yfirlit'!CI52-'3.2 Yfirlit'!CI50))</f>
        <v>1112920.007</v>
      </c>
      <c r="CJ65" s="133">
        <f>'3.2 Yfirlit'!CJ65+'3.2 Yfirlit'!CJ68-('3.2 Yfirlit'!CJ33-'3.2 Yfirlit'!CJ31-'3.2 Yfirlit'!CJ42-('3.2 Yfirlit'!CJ48+'3.2 Yfirlit'!CJ52-'3.2 Yfirlit'!CJ50))</f>
        <v>898660.936</v>
      </c>
      <c r="CK65" s="133">
        <f>'3.2 Yfirlit'!CK65+'3.2 Yfirlit'!CK68-('3.2 Yfirlit'!CK33-'3.2 Yfirlit'!CK31-'3.2 Yfirlit'!CK42-('3.2 Yfirlit'!CK48+'3.2 Yfirlit'!CK52-'3.2 Yfirlit'!CK50))</f>
        <v>889189.4800000001</v>
      </c>
      <c r="CL65" s="133">
        <f>'3.2 Yfirlit'!CL65+'3.2 Yfirlit'!CL68-('3.2 Yfirlit'!CL33-'3.2 Yfirlit'!CL31-'3.2 Yfirlit'!CL42-('3.2 Yfirlit'!CL48+'3.2 Yfirlit'!CL52-'3.2 Yfirlit'!CL50))</f>
        <v>776101.4360000001</v>
      </c>
      <c r="CM65" s="133">
        <f>'3.2 Yfirlit'!CM65+'3.2 Yfirlit'!CM68-('3.2 Yfirlit'!CM33-'3.2 Yfirlit'!CM31-'3.2 Yfirlit'!CM42-('3.2 Yfirlit'!CM48+'3.2 Yfirlit'!CM52-'3.2 Yfirlit'!CM50))</f>
        <v>539224.3</v>
      </c>
      <c r="CN65" s="133">
        <f>'3.2 Yfirlit'!CN65+'3.2 Yfirlit'!CN68-('3.2 Yfirlit'!CN33-'3.2 Yfirlit'!CN31-'3.2 Yfirlit'!CN42-('3.2 Yfirlit'!CN48+'3.2 Yfirlit'!CN52-'3.2 Yfirlit'!CN50))</f>
        <v>322427.05299999996</v>
      </c>
      <c r="CO65" s="133">
        <f>'3.2 Yfirlit'!CO65+'3.2 Yfirlit'!CO68-('3.2 Yfirlit'!CO33-'3.2 Yfirlit'!CO31-'3.2 Yfirlit'!CO42-('3.2 Yfirlit'!CO48+'3.2 Yfirlit'!CO52-'3.2 Yfirlit'!CO50))</f>
        <v>236482.39499999993</v>
      </c>
      <c r="CP65" s="133">
        <f>'3.2 Yfirlit'!CP65+'3.2 Yfirlit'!CP68-('3.2 Yfirlit'!CP33-'3.2 Yfirlit'!CP31-'3.2 Yfirlit'!CP42-('3.2 Yfirlit'!CP48+'3.2 Yfirlit'!CP52-'3.2 Yfirlit'!CP50))</f>
        <v>182256.962</v>
      </c>
      <c r="CQ65" s="133"/>
      <c r="CR65" s="133">
        <f>'3.2 Yfirlit'!CR65+'3.2 Yfirlit'!CR68-('3.2 Yfirlit'!CR33-'3.2 Yfirlit'!CR31-'3.2 Yfirlit'!CR42-('3.2 Yfirlit'!CR48+'3.2 Yfirlit'!CR52-'3.2 Yfirlit'!CR50))</f>
        <v>159113.992</v>
      </c>
      <c r="CS65" s="133">
        <f>'3.2 Yfirlit'!CS65+'3.2 Yfirlit'!CS68-('3.2 Yfirlit'!CS33-'3.2 Yfirlit'!CS31-'3.2 Yfirlit'!CS42-('3.2 Yfirlit'!CS48+'3.2 Yfirlit'!CS52-'3.2 Yfirlit'!CS50))</f>
        <v>19012.37</v>
      </c>
      <c r="CT65" s="133"/>
      <c r="CU65" s="133"/>
      <c r="CV65" s="30">
        <f>+B65+D65+J65+L65+P65+R65+T65+V65+Y65+AA65+AC65+AD65+AF65+AG65+AH65+AI65+AK65+AM65+AO65+AQ65+AR65+AT65+AV65+AX65+AY65+BA65+BB65+BD65+BF65+BH65+BJ65+BK65+BN65+BO65+BP65+BQ65+BR65+BV65+BW65+BX65+BZ65+CC65+CD65+CF65+CG65+CH65+CI65+CJ65+CK65+CL65+CM65+CN65+CO65+CP65+CR65+CS65</f>
        <v>1064928545.6859999</v>
      </c>
      <c r="CW65" s="30"/>
      <c r="CX65" s="30">
        <f>+D65+AQ65+BJ65+BN65+BR65+BW65+BZ65+CF65+CG65+CJ65+CM65+CN65+CO65+CR65</f>
        <v>170183157.893</v>
      </c>
      <c r="CY65" s="30">
        <f>+B65+J65+L65+P65+R65+T65+V65+Y65+AA65+AC65+AD65+AF65+AG65+AH65+AI65+AK65+AM65+AO65+AR65+AT65+AV65+AX65+AY65+BA65+BB65+BD65+BF65+BH65+BK65+BO65+BP65+BQ65+BV65+BX65+CC65+CD65+CH65+CI65+CK65+CL65+CP65+CS65</f>
        <v>894745387.7929999</v>
      </c>
    </row>
    <row r="66" spans="1:103" ht="12.75">
      <c r="A66" s="104" t="s">
        <v>347</v>
      </c>
      <c r="B66" s="214">
        <f aca="true" t="shared" si="3" ref="B66:AG66">B62/B65</f>
        <v>0.052999689184858256</v>
      </c>
      <c r="C66" s="214"/>
      <c r="D66" s="214">
        <f t="shared" si="3"/>
        <v>0.057057384965061096</v>
      </c>
      <c r="E66" s="214">
        <f t="shared" si="3"/>
        <v>0.06435050632914775</v>
      </c>
      <c r="F66" s="214">
        <f t="shared" si="3"/>
        <v>0.022643174339238906</v>
      </c>
      <c r="G66" s="214">
        <f t="shared" si="3"/>
        <v>0.07168349504115927</v>
      </c>
      <c r="H66" s="214">
        <f t="shared" si="3"/>
        <v>0.06456660060498592</v>
      </c>
      <c r="I66" s="214">
        <f t="shared" si="3"/>
        <v>-0.11714066323638112</v>
      </c>
      <c r="J66" s="214">
        <f t="shared" si="3"/>
        <v>0.035471695047452234</v>
      </c>
      <c r="K66" s="214"/>
      <c r="L66" s="214">
        <f t="shared" si="3"/>
        <v>0.03268926799783793</v>
      </c>
      <c r="M66" s="214">
        <f t="shared" si="3"/>
        <v>0.03270242919676073</v>
      </c>
      <c r="N66" s="214">
        <f t="shared" si="3"/>
        <v>0.062056061367111906</v>
      </c>
      <c r="O66" s="214"/>
      <c r="P66" s="214">
        <f t="shared" si="3"/>
        <v>0.036351575382620765</v>
      </c>
      <c r="Q66" s="214">
        <f t="shared" si="3"/>
        <v>0.0606117286698458</v>
      </c>
      <c r="R66" s="214">
        <f t="shared" si="3"/>
        <v>0.015412971008837836</v>
      </c>
      <c r="S66" s="214"/>
      <c r="T66" s="214">
        <f t="shared" si="3"/>
        <v>0.05778704096904177</v>
      </c>
      <c r="U66" s="214"/>
      <c r="V66" s="214">
        <f t="shared" si="3"/>
        <v>0.014178125817493496</v>
      </c>
      <c r="W66" s="214">
        <f t="shared" si="3"/>
        <v>0.013468404936999035</v>
      </c>
      <c r="X66" s="214">
        <f t="shared" si="3"/>
        <v>0.01878197594282081</v>
      </c>
      <c r="Y66" s="214">
        <f t="shared" si="3"/>
        <v>0.04404102936852442</v>
      </c>
      <c r="Z66" s="214"/>
      <c r="AA66" s="214">
        <f t="shared" si="3"/>
        <v>0.06131879246716819</v>
      </c>
      <c r="AB66" s="214"/>
      <c r="AC66" s="214">
        <f t="shared" si="3"/>
        <v>-0.002739115080723395</v>
      </c>
      <c r="AD66" s="214">
        <f t="shared" si="3"/>
        <v>-0.009397413251704376</v>
      </c>
      <c r="AE66" s="214"/>
      <c r="AF66" s="214">
        <f t="shared" si="3"/>
        <v>-0.003397528434210496</v>
      </c>
      <c r="AG66" s="214">
        <f t="shared" si="3"/>
        <v>0.022878211100080256</v>
      </c>
      <c r="AH66" s="214">
        <f aca="true" t="shared" si="4" ref="AH66:BM66">AH62/AH65</f>
        <v>0.0032279231333600814</v>
      </c>
      <c r="AI66" s="214">
        <f t="shared" si="4"/>
        <v>-0.04015757230052106</v>
      </c>
      <c r="AJ66" s="214"/>
      <c r="AK66" s="214">
        <f t="shared" si="4"/>
        <v>0.04585330439581728</v>
      </c>
      <c r="AL66" s="214"/>
      <c r="AM66" s="214">
        <f t="shared" si="4"/>
        <v>0.030336100912075288</v>
      </c>
      <c r="AN66" s="214"/>
      <c r="AO66" s="214">
        <f t="shared" si="4"/>
        <v>0.006506581355162608</v>
      </c>
      <c r="AP66" s="214"/>
      <c r="AQ66" s="214">
        <f t="shared" si="4"/>
        <v>0.04911289701931616</v>
      </c>
      <c r="AR66" s="214">
        <f t="shared" si="4"/>
        <v>0.014195516096378476</v>
      </c>
      <c r="AS66" s="214"/>
      <c r="AT66" s="214">
        <f t="shared" si="4"/>
        <v>0.07505635235673602</v>
      </c>
      <c r="AU66" s="214"/>
      <c r="AV66" s="214">
        <f t="shared" si="4"/>
        <v>-0.03525853293305638</v>
      </c>
      <c r="AW66" s="214"/>
      <c r="AX66" s="214">
        <f t="shared" si="4"/>
        <v>0.027073059850817444</v>
      </c>
      <c r="AY66" s="214">
        <f t="shared" si="4"/>
        <v>0.004650749989251064</v>
      </c>
      <c r="AZ66" s="214"/>
      <c r="BA66" s="214">
        <f t="shared" si="4"/>
        <v>0.022782966907793332</v>
      </c>
      <c r="BB66" s="214">
        <f t="shared" si="4"/>
        <v>-0.006097583278466132</v>
      </c>
      <c r="BC66" s="214"/>
      <c r="BD66" s="214">
        <f t="shared" si="4"/>
        <v>0.07235433591228889</v>
      </c>
      <c r="BE66" s="214"/>
      <c r="BF66" s="214">
        <f t="shared" si="4"/>
        <v>0.0819992319215676</v>
      </c>
      <c r="BG66" s="214"/>
      <c r="BH66" s="214">
        <f t="shared" si="4"/>
        <v>0.08257424250437014</v>
      </c>
      <c r="BI66" s="214"/>
      <c r="BJ66" s="214">
        <f t="shared" si="4"/>
        <v>0.03845274408382667</v>
      </c>
      <c r="BK66" s="214">
        <f t="shared" si="4"/>
        <v>-0.03887042792682731</v>
      </c>
      <c r="BL66" s="214">
        <f t="shared" si="4"/>
        <v>-0.04649121886818628</v>
      </c>
      <c r="BM66" s="214">
        <f t="shared" si="4"/>
        <v>0.04441453857430705</v>
      </c>
      <c r="BN66" s="214">
        <f aca="true" t="shared" si="5" ref="BN66:CS66">BN62/BN65</f>
        <v>0.010571835954678293</v>
      </c>
      <c r="BO66" s="214">
        <f t="shared" si="5"/>
        <v>0.06695353973472556</v>
      </c>
      <c r="BP66" s="214">
        <f t="shared" si="5"/>
        <v>-0.017324035784133263</v>
      </c>
      <c r="BQ66" s="214">
        <f t="shared" si="5"/>
        <v>0.07442208959289445</v>
      </c>
      <c r="BR66" s="214">
        <f t="shared" si="5"/>
        <v>-0.05966958869683114</v>
      </c>
      <c r="BS66" s="214">
        <f t="shared" si="5"/>
        <v>-0.05955780268187613</v>
      </c>
      <c r="BT66" s="214">
        <f t="shared" si="5"/>
        <v>-0.06068179307345633</v>
      </c>
      <c r="BU66" s="214"/>
      <c r="BV66" s="214">
        <f t="shared" si="5"/>
        <v>-0.02281571643161097</v>
      </c>
      <c r="BW66" s="214">
        <f t="shared" si="5"/>
        <v>0.06456512924708788</v>
      </c>
      <c r="BX66" s="214">
        <f t="shared" si="5"/>
        <v>-0.049785740262197134</v>
      </c>
      <c r="BY66" s="214"/>
      <c r="BZ66" s="214">
        <f t="shared" si="5"/>
        <v>0.04143018113138228</v>
      </c>
      <c r="CA66" s="214">
        <f t="shared" si="5"/>
        <v>-0.06633282821809505</v>
      </c>
      <c r="CB66" s="214">
        <f t="shared" si="5"/>
        <v>0.04983418218090434</v>
      </c>
      <c r="CC66" s="214">
        <f t="shared" si="5"/>
        <v>0.0711326471053825</v>
      </c>
      <c r="CD66" s="214">
        <f t="shared" si="5"/>
        <v>-0.04681596087245547</v>
      </c>
      <c r="CE66" s="214"/>
      <c r="CF66" s="214">
        <f t="shared" si="5"/>
        <v>0.07614295294849341</v>
      </c>
      <c r="CG66" s="214">
        <f t="shared" si="5"/>
        <v>0.10154103175763096</v>
      </c>
      <c r="CH66" s="214">
        <f t="shared" si="5"/>
        <v>0.024038857727422498</v>
      </c>
      <c r="CI66" s="214">
        <f t="shared" si="5"/>
        <v>0.07549847920022162</v>
      </c>
      <c r="CJ66" s="214">
        <f t="shared" si="5"/>
        <v>0.03799329939940776</v>
      </c>
      <c r="CK66" s="214">
        <f t="shared" si="5"/>
        <v>0.0421621182472829</v>
      </c>
      <c r="CL66" s="214">
        <f t="shared" si="5"/>
        <v>0.11979218654608959</v>
      </c>
      <c r="CM66" s="214">
        <f t="shared" si="5"/>
        <v>0.07158806455866323</v>
      </c>
      <c r="CN66" s="214">
        <f t="shared" si="5"/>
        <v>0.038066098628516766</v>
      </c>
      <c r="CO66" s="214">
        <f t="shared" si="5"/>
        <v>0.06204233511758879</v>
      </c>
      <c r="CP66" s="214">
        <f t="shared" si="5"/>
        <v>0.09267648168084792</v>
      </c>
      <c r="CQ66" s="214"/>
      <c r="CR66" s="214">
        <f t="shared" si="5"/>
        <v>0.07234942606430238</v>
      </c>
      <c r="CS66" s="214">
        <f t="shared" si="5"/>
        <v>0.011714794105101045</v>
      </c>
      <c r="CT66" s="214"/>
      <c r="CU66" s="214"/>
      <c r="CV66" s="214">
        <f>CV62/CV65</f>
        <v>0.0341046596498211</v>
      </c>
      <c r="CW66" s="214"/>
      <c r="CX66" s="214">
        <f>CX62/CX65</f>
        <v>0.05340928595128546</v>
      </c>
      <c r="CY66" s="214">
        <f>CY62/CY65</f>
        <v>0.030432863951570997</v>
      </c>
    </row>
    <row r="67" spans="1:103" ht="12.75">
      <c r="A67" s="232" t="s">
        <v>412</v>
      </c>
      <c r="B67" s="215">
        <v>0.0418</v>
      </c>
      <c r="C67" s="215"/>
      <c r="D67" s="215">
        <v>0.0418</v>
      </c>
      <c r="E67" s="215">
        <v>0.0418</v>
      </c>
      <c r="F67" s="215">
        <v>0.0418</v>
      </c>
      <c r="G67" s="215">
        <v>0.0418</v>
      </c>
      <c r="H67" s="215">
        <v>0.0418</v>
      </c>
      <c r="I67" s="215">
        <v>0.0418</v>
      </c>
      <c r="J67" s="215">
        <v>0.0418</v>
      </c>
      <c r="K67" s="215"/>
      <c r="L67" s="215">
        <v>0.0418</v>
      </c>
      <c r="M67" s="215">
        <v>0.0418</v>
      </c>
      <c r="N67" s="215">
        <v>0.0418</v>
      </c>
      <c r="O67" s="215"/>
      <c r="P67" s="215">
        <v>0.0418</v>
      </c>
      <c r="Q67" s="215">
        <v>0.0418</v>
      </c>
      <c r="R67" s="215">
        <v>0.0418</v>
      </c>
      <c r="S67" s="215"/>
      <c r="T67" s="215">
        <v>0.0418</v>
      </c>
      <c r="U67" s="215"/>
      <c r="V67" s="215">
        <v>0.0418</v>
      </c>
      <c r="W67" s="215">
        <v>0.0418</v>
      </c>
      <c r="X67" s="215">
        <v>0.0418</v>
      </c>
      <c r="Y67" s="215">
        <v>0.0418</v>
      </c>
      <c r="Z67" s="215"/>
      <c r="AA67" s="215">
        <v>0.0418</v>
      </c>
      <c r="AB67" s="215"/>
      <c r="AC67" s="215">
        <v>0.0418</v>
      </c>
      <c r="AD67" s="215">
        <v>0.0418</v>
      </c>
      <c r="AE67" s="215"/>
      <c r="AF67" s="215">
        <v>0.0418</v>
      </c>
      <c r="AG67" s="215">
        <v>0.0418</v>
      </c>
      <c r="AH67" s="215">
        <v>0.0418</v>
      </c>
      <c r="AI67" s="215">
        <v>0.0418</v>
      </c>
      <c r="AJ67" s="215"/>
      <c r="AK67" s="215">
        <v>0.0418</v>
      </c>
      <c r="AL67" s="215"/>
      <c r="AM67" s="215">
        <v>0.0418</v>
      </c>
      <c r="AN67" s="215"/>
      <c r="AO67" s="215">
        <v>0.0418</v>
      </c>
      <c r="AP67" s="215"/>
      <c r="AQ67" s="215">
        <v>0.0418</v>
      </c>
      <c r="AR67" s="215">
        <v>0.0418</v>
      </c>
      <c r="AS67" s="215"/>
      <c r="AT67" s="215">
        <v>0.0418</v>
      </c>
      <c r="AU67" s="215"/>
      <c r="AV67" s="215">
        <v>0.0418</v>
      </c>
      <c r="AW67" s="215"/>
      <c r="AX67" s="215">
        <v>0.0418</v>
      </c>
      <c r="AY67" s="215">
        <v>0.0418</v>
      </c>
      <c r="AZ67" s="215"/>
      <c r="BA67" s="215">
        <v>0.0418</v>
      </c>
      <c r="BB67" s="215">
        <v>0.0418</v>
      </c>
      <c r="BC67" s="215"/>
      <c r="BD67" s="215">
        <v>0.0418</v>
      </c>
      <c r="BE67" s="215"/>
      <c r="BF67" s="215">
        <v>0.0418</v>
      </c>
      <c r="BG67" s="215"/>
      <c r="BH67" s="215">
        <v>0.0418</v>
      </c>
      <c r="BI67" s="215"/>
      <c r="BJ67" s="215">
        <v>0.0418</v>
      </c>
      <c r="BK67" s="215">
        <v>0.0418</v>
      </c>
      <c r="BL67" s="215">
        <v>0.0418</v>
      </c>
      <c r="BM67" s="215">
        <v>0.0418</v>
      </c>
      <c r="BN67" s="215">
        <v>0.0418</v>
      </c>
      <c r="BO67" s="215">
        <v>0.0418</v>
      </c>
      <c r="BP67" s="215">
        <v>0.0418</v>
      </c>
      <c r="BQ67" s="215">
        <v>0.0418</v>
      </c>
      <c r="BR67" s="215">
        <v>0.0418</v>
      </c>
      <c r="BS67" s="215">
        <v>0.0418</v>
      </c>
      <c r="BT67" s="215">
        <v>0.0418</v>
      </c>
      <c r="BU67" s="215"/>
      <c r="BV67" s="215">
        <v>0.0418</v>
      </c>
      <c r="BW67" s="215">
        <v>0.0418</v>
      </c>
      <c r="BX67" s="215">
        <v>0.0418</v>
      </c>
      <c r="BY67" s="215"/>
      <c r="BZ67" s="215">
        <v>0.0418</v>
      </c>
      <c r="CA67" s="215">
        <v>0.0418</v>
      </c>
      <c r="CB67" s="215">
        <v>0.0418</v>
      </c>
      <c r="CC67" s="215">
        <v>0.0418</v>
      </c>
      <c r="CD67" s="215">
        <v>0.0418</v>
      </c>
      <c r="CE67" s="215"/>
      <c r="CF67" s="215">
        <v>0.0418</v>
      </c>
      <c r="CG67" s="215">
        <v>0.0418</v>
      </c>
      <c r="CH67" s="215">
        <v>0.0418</v>
      </c>
      <c r="CI67" s="215">
        <v>0.0418</v>
      </c>
      <c r="CJ67" s="215">
        <v>0.0418</v>
      </c>
      <c r="CK67" s="215">
        <v>0.0418</v>
      </c>
      <c r="CL67" s="215">
        <v>0.0418</v>
      </c>
      <c r="CM67" s="215">
        <v>0.0418</v>
      </c>
      <c r="CN67" s="215">
        <v>0.0418</v>
      </c>
      <c r="CO67" s="215">
        <v>0.0418</v>
      </c>
      <c r="CP67" s="215">
        <v>0.0418</v>
      </c>
      <c r="CQ67" s="215"/>
      <c r="CR67" s="215">
        <v>0.0418</v>
      </c>
      <c r="CS67" s="215">
        <v>0.0418</v>
      </c>
      <c r="CT67" s="215"/>
      <c r="CU67" s="215"/>
      <c r="CV67" s="215">
        <v>0.0418</v>
      </c>
      <c r="CW67" s="215"/>
      <c r="CX67" s="215">
        <v>0.0418</v>
      </c>
      <c r="CY67" s="215">
        <v>0.0418</v>
      </c>
    </row>
    <row r="68" spans="1:103" ht="12.75">
      <c r="A68" s="206"/>
      <c r="CP68" s="196"/>
      <c r="CQ68" s="196"/>
      <c r="CR68" s="196"/>
      <c r="CS68" s="196"/>
      <c r="CT68" s="196"/>
      <c r="CU68" s="196"/>
      <c r="CV68" s="30"/>
      <c r="CW68" s="112"/>
      <c r="CX68" s="30"/>
      <c r="CY68" s="30"/>
    </row>
    <row r="69" spans="1:103" ht="12.75">
      <c r="A69" s="232" t="s">
        <v>136</v>
      </c>
      <c r="B69" s="214">
        <f aca="true" t="shared" si="6" ref="B69:I69">(1+B66)/(1+B67)-1</f>
        <v>0.010750325575790143</v>
      </c>
      <c r="C69" s="214"/>
      <c r="D69" s="214">
        <f t="shared" si="6"/>
        <v>0.014645214978941334</v>
      </c>
      <c r="E69" s="214">
        <f t="shared" si="6"/>
        <v>0.02164571542440763</v>
      </c>
      <c r="F69" s="214">
        <f t="shared" si="6"/>
        <v>-0.018388198944865652</v>
      </c>
      <c r="G69" s="214">
        <f t="shared" si="6"/>
        <v>0.028684483625608825</v>
      </c>
      <c r="H69" s="214">
        <f t="shared" si="6"/>
        <v>0.02185313937894584</v>
      </c>
      <c r="I69" s="214">
        <f t="shared" si="6"/>
        <v>-0.15256350857782797</v>
      </c>
      <c r="J69" s="214">
        <f aca="true" t="shared" si="7" ref="J69:BD69">(1+J66)/(1+J67)-1</f>
        <v>-0.006074395231856156</v>
      </c>
      <c r="K69" s="214"/>
      <c r="L69" s="214">
        <f t="shared" si="7"/>
        <v>-0.008745183338608298</v>
      </c>
      <c r="M69" s="214">
        <f t="shared" si="7"/>
        <v>-0.008732550204683442</v>
      </c>
      <c r="N69" s="214">
        <f t="shared" si="7"/>
        <v>0.019443330166166062</v>
      </c>
      <c r="O69" s="214"/>
      <c r="P69" s="214">
        <f t="shared" si="7"/>
        <v>-0.005229818215952586</v>
      </c>
      <c r="Q69" s="214">
        <f t="shared" si="7"/>
        <v>0.018056948233677872</v>
      </c>
      <c r="R69" s="214">
        <f t="shared" si="7"/>
        <v>-0.02532830580837231</v>
      </c>
      <c r="S69" s="214"/>
      <c r="T69" s="214">
        <f t="shared" si="7"/>
        <v>0.015345595094107933</v>
      </c>
      <c r="U69" s="214"/>
      <c r="V69" s="214">
        <f t="shared" si="7"/>
        <v>-0.026513605473705626</v>
      </c>
      <c r="W69" s="214">
        <f t="shared" si="7"/>
        <v>-0.027194850319639974</v>
      </c>
      <c r="X69" s="214">
        <f t="shared" si="7"/>
        <v>-0.02209447500209194</v>
      </c>
      <c r="Y69" s="214">
        <f t="shared" si="7"/>
        <v>0.0021511128513385103</v>
      </c>
      <c r="Z69" s="214"/>
      <c r="AA69" s="214">
        <f t="shared" si="7"/>
        <v>0.01873564260622773</v>
      </c>
      <c r="AB69" s="214"/>
      <c r="AC69" s="214">
        <f t="shared" si="7"/>
        <v>-0.042752078211483524</v>
      </c>
      <c r="AD69" s="214">
        <f t="shared" si="7"/>
        <v>-0.049143226388658534</v>
      </c>
      <c r="AE69" s="214"/>
      <c r="AF69" s="214">
        <f t="shared" si="7"/>
        <v>-0.043384074135352835</v>
      </c>
      <c r="AG69" s="214">
        <f t="shared" si="7"/>
        <v>-0.01816259253207886</v>
      </c>
      <c r="AH69" s="214">
        <f t="shared" si="7"/>
        <v>-0.03702445466177773</v>
      </c>
      <c r="AI69" s="214">
        <f t="shared" si="7"/>
        <v>-0.07866919975093212</v>
      </c>
      <c r="AJ69" s="214"/>
      <c r="AK69" s="214">
        <f t="shared" si="7"/>
        <v>0.0038906742136852746</v>
      </c>
      <c r="AL69" s="214"/>
      <c r="AM69" s="214">
        <f t="shared" si="7"/>
        <v>-0.011003934620776312</v>
      </c>
      <c r="AN69" s="214"/>
      <c r="AO69" s="214">
        <f t="shared" si="7"/>
        <v>-0.033877345598807285</v>
      </c>
      <c r="AP69" s="214"/>
      <c r="AQ69" s="214">
        <f t="shared" si="7"/>
        <v>0.0070194826447649294</v>
      </c>
      <c r="AR69" s="214">
        <f t="shared" si="7"/>
        <v>-0.02649691294262002</v>
      </c>
      <c r="AS69" s="214"/>
      <c r="AT69" s="214">
        <f t="shared" si="7"/>
        <v>0.0319220122448991</v>
      </c>
      <c r="AU69" s="214"/>
      <c r="AV69" s="214">
        <f t="shared" si="7"/>
        <v>-0.07396672387507819</v>
      </c>
      <c r="AW69" s="214"/>
      <c r="AX69" s="214">
        <f t="shared" si="7"/>
        <v>-0.014136053128414816</v>
      </c>
      <c r="AY69" s="214">
        <f t="shared" si="7"/>
        <v>-0.03565871569471024</v>
      </c>
      <c r="AZ69" s="214"/>
      <c r="BA69" s="214">
        <f t="shared" si="7"/>
        <v>-0.018254015254565936</v>
      </c>
      <c r="BB69" s="214">
        <f t="shared" si="7"/>
        <v>-0.04597579504556171</v>
      </c>
      <c r="BC69" s="214"/>
      <c r="BD69" s="214">
        <f t="shared" si="7"/>
        <v>0.029328408439517117</v>
      </c>
      <c r="BE69" s="214"/>
      <c r="BF69" s="214">
        <f aca="true" t="shared" si="8" ref="BF69:BM69">(1+BF66)/(1+BF67)-1</f>
        <v>0.0385863235952848</v>
      </c>
      <c r="BG69" s="214"/>
      <c r="BH69" s="214">
        <f t="shared" si="8"/>
        <v>0.03913826310651758</v>
      </c>
      <c r="BI69" s="214"/>
      <c r="BJ69" s="214">
        <f t="shared" si="8"/>
        <v>-0.003212954421360492</v>
      </c>
      <c r="BK69" s="214">
        <f t="shared" si="8"/>
        <v>-0.07743369929624433</v>
      </c>
      <c r="BL69" s="214">
        <f t="shared" si="8"/>
        <v>-0.08474872227700747</v>
      </c>
      <c r="BM69" s="214">
        <f t="shared" si="8"/>
        <v>0.002509635797952603</v>
      </c>
      <c r="BN69" s="214">
        <f aca="true" t="shared" si="9" ref="BN69:CD69">(1+BN66)/(1+BN67)-1</f>
        <v>-0.029975200657824774</v>
      </c>
      <c r="BO69" s="214">
        <f t="shared" si="9"/>
        <v>0.024144307673954257</v>
      </c>
      <c r="BP69" s="214">
        <f t="shared" si="9"/>
        <v>-0.056751810121072443</v>
      </c>
      <c r="BQ69" s="214">
        <f t="shared" si="9"/>
        <v>0.03131319791984488</v>
      </c>
      <c r="BR69" s="214">
        <f t="shared" si="9"/>
        <v>-0.0973983381616732</v>
      </c>
      <c r="BS69" s="214">
        <f t="shared" si="9"/>
        <v>-0.09729103732182398</v>
      </c>
      <c r="BT69" s="214">
        <f t="shared" si="9"/>
        <v>-0.09836992999947825</v>
      </c>
      <c r="BU69" s="214"/>
      <c r="BV69" s="214">
        <f t="shared" si="9"/>
        <v>-0.06202314881129878</v>
      </c>
      <c r="BW69" s="214">
        <f t="shared" si="9"/>
        <v>0.021851727056141135</v>
      </c>
      <c r="BX69" s="214">
        <f t="shared" si="9"/>
        <v>-0.08791105803628074</v>
      </c>
      <c r="BY69" s="214"/>
      <c r="BZ69" s="214">
        <f t="shared" si="9"/>
        <v>-0.00035498067634653907</v>
      </c>
      <c r="CA69" s="214">
        <f t="shared" si="9"/>
        <v>-0.10379422942800454</v>
      </c>
      <c r="CB69" s="214">
        <f t="shared" si="9"/>
        <v>0.007711827779712355</v>
      </c>
      <c r="CC69" s="214">
        <f t="shared" si="9"/>
        <v>0.028155737286794436</v>
      </c>
      <c r="CD69" s="214">
        <f t="shared" si="9"/>
        <v>-0.08506043470191538</v>
      </c>
      <c r="CE69" s="214"/>
      <c r="CF69" s="214">
        <f aca="true" t="shared" si="10" ref="CF69:CL69">(1+CF66)/(1+CF67)-1</f>
        <v>0.03296501530859408</v>
      </c>
      <c r="CG69" s="214">
        <f t="shared" si="10"/>
        <v>0.057344050448868034</v>
      </c>
      <c r="CH69" s="214">
        <f t="shared" si="10"/>
        <v>-0.017048514371834966</v>
      </c>
      <c r="CI69" s="214">
        <f t="shared" si="10"/>
        <v>0.032346399693051975</v>
      </c>
      <c r="CJ69" s="214">
        <f t="shared" si="10"/>
        <v>-0.0036539648690654403</v>
      </c>
      <c r="CK69" s="214">
        <f t="shared" si="10"/>
        <v>0.0003475890259962977</v>
      </c>
      <c r="CL69" s="214">
        <f t="shared" si="10"/>
        <v>0.07486291663091715</v>
      </c>
      <c r="CM69" s="214">
        <f aca="true" t="shared" si="11" ref="CM69:CS69">(1+CM66)/(1+CM67)-1</f>
        <v>0.02859288208740951</v>
      </c>
      <c r="CN69" s="214">
        <f t="shared" si="11"/>
        <v>-0.0035840865535450295</v>
      </c>
      <c r="CO69" s="214">
        <f t="shared" si="11"/>
        <v>0.019430154653089504</v>
      </c>
      <c r="CP69" s="214">
        <f t="shared" si="11"/>
        <v>0.04883517151166039</v>
      </c>
      <c r="CQ69" s="214"/>
      <c r="CR69" s="214">
        <f t="shared" si="11"/>
        <v>0.029323695588694854</v>
      </c>
      <c r="CS69" s="214">
        <f t="shared" si="11"/>
        <v>-0.02887810126214152</v>
      </c>
      <c r="CT69" s="214"/>
      <c r="CU69" s="214"/>
      <c r="CV69" s="214">
        <f>((1+CV66)/(1+CV67))-1</f>
        <v>-0.0073865812537713404</v>
      </c>
      <c r="CW69" s="214"/>
      <c r="CX69" s="214">
        <f>((1+CX66)/(1+CX67))-1</f>
        <v>0.011143488146751146</v>
      </c>
      <c r="CY69" s="214">
        <f>((1+CY66)/(1+CY67))-1</f>
        <v>-0.010911053991580988</v>
      </c>
    </row>
    <row r="70" spans="100:103" ht="12">
      <c r="CV70" s="112"/>
      <c r="CW70" s="112"/>
      <c r="CX70" s="112"/>
      <c r="CY70" s="112"/>
    </row>
    <row r="71" spans="16:103" ht="12.75">
      <c r="P71" s="215"/>
      <c r="Q71" s="215"/>
      <c r="X71" s="215"/>
      <c r="BO71" s="215"/>
      <c r="CV71" s="112"/>
      <c r="CW71" s="112"/>
      <c r="CX71" s="112"/>
      <c r="CY71" s="112"/>
    </row>
    <row r="72" spans="16:103" ht="12.75">
      <c r="P72" s="215"/>
      <c r="Q72" s="215"/>
      <c r="X72" s="215"/>
      <c r="BO72" s="215"/>
      <c r="CV72" s="112"/>
      <c r="CW72" s="112"/>
      <c r="CX72" s="112"/>
      <c r="CY72" s="112"/>
    </row>
    <row r="73" spans="16:67" ht="12.75">
      <c r="P73" s="215"/>
      <c r="Q73" s="215"/>
      <c r="X73" s="215"/>
      <c r="BO73" s="215"/>
    </row>
    <row r="74" spans="16:67" ht="12.75">
      <c r="P74" s="215"/>
      <c r="Q74" s="215"/>
      <c r="X74" s="215"/>
      <c r="BO74" s="215"/>
    </row>
    <row r="76" spans="16:67" ht="12.75">
      <c r="P76" s="215"/>
      <c r="Q76" s="215"/>
      <c r="X76" s="215"/>
      <c r="BO76" s="215"/>
    </row>
    <row r="77" spans="16:67" ht="12.75">
      <c r="P77" s="215"/>
      <c r="Q77" s="215"/>
      <c r="X77" s="215"/>
      <c r="BO77" s="215"/>
    </row>
    <row r="78" spans="16:67" ht="12.75">
      <c r="P78" s="215"/>
      <c r="Q78" s="215"/>
      <c r="X78" s="215"/>
      <c r="BO78" s="215"/>
    </row>
    <row r="79" spans="16:67" ht="12.75">
      <c r="P79" s="215"/>
      <c r="Q79" s="215"/>
      <c r="X79" s="215"/>
      <c r="BO79" s="215"/>
    </row>
    <row r="80" spans="16:67" ht="12.75">
      <c r="P80" s="215"/>
      <c r="Q80" s="215"/>
      <c r="X80" s="215"/>
      <c r="BO80" s="215"/>
    </row>
    <row r="81" spans="16:67" ht="12.75">
      <c r="P81" s="215"/>
      <c r="Q81" s="215"/>
      <c r="X81" s="215"/>
      <c r="BO81" s="215"/>
    </row>
    <row r="82" spans="16:67" ht="12.75">
      <c r="P82" s="215"/>
      <c r="Q82" s="215"/>
      <c r="X82" s="215"/>
      <c r="BO82" s="215"/>
    </row>
    <row r="84" ht="12.75">
      <c r="BO84" s="233"/>
    </row>
    <row r="85" ht="12.75">
      <c r="BO85" s="233"/>
    </row>
    <row r="86" ht="12.75">
      <c r="BO86" s="233"/>
    </row>
    <row r="87" ht="12.75">
      <c r="BO87" s="234"/>
    </row>
    <row r="92" ht="12.75">
      <c r="BO92" s="235"/>
    </row>
    <row r="93" ht="12.75">
      <c r="BO93" s="235"/>
    </row>
    <row r="94" ht="12.75">
      <c r="BO94" s="235"/>
    </row>
    <row r="95" ht="12.75">
      <c r="BO95" s="235"/>
    </row>
    <row r="96" ht="12.75">
      <c r="BO96" s="235"/>
    </row>
    <row r="97" ht="12.75">
      <c r="BO97" s="235"/>
    </row>
    <row r="98" ht="12.75">
      <c r="BO98" s="235"/>
    </row>
    <row r="99" ht="12.75">
      <c r="BO99" s="235"/>
    </row>
    <row r="100" ht="12.75">
      <c r="BO100" s="235"/>
    </row>
    <row r="101" ht="12.75">
      <c r="BO101" s="235"/>
    </row>
    <row r="102" ht="12.75">
      <c r="BO102" s="235"/>
    </row>
    <row r="103" ht="12.75">
      <c r="BO103" s="235"/>
    </row>
    <row r="104" ht="12.75">
      <c r="BO104" s="235"/>
    </row>
    <row r="105" ht="12.75">
      <c r="BO105" s="235"/>
    </row>
    <row r="106" ht="12.75">
      <c r="BO106" s="235"/>
    </row>
  </sheetData>
  <sheetProtection/>
  <printOptions/>
  <pageMargins left="0.68" right="0.71" top="1.25" bottom="0.984251968503937" header="0.71" footer="0.5118110236220472"/>
  <pageSetup horizontalDpi="600" verticalDpi="600" orientation="portrait" paperSize="9" r:id="rId1"/>
  <headerFooter alignWithMargins="0">
    <oddHeader xml:space="preserve">&amp;C&amp;"Times New Roman,Bold"&amp;14 3.5. SUNDURLIÐUN Á ÖÐRUM FJÁRFESTINGUM 31.12.1999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Ásta Þórarinsdóttir</dc:creator>
  <cp:keywords/>
  <dc:description/>
  <cp:lastModifiedBy>Arnar Jón Sigurgeirsson</cp:lastModifiedBy>
  <cp:lastPrinted>2001-10-18T10:53:09Z</cp:lastPrinted>
  <dcterms:created xsi:type="dcterms:W3CDTF">1998-02-16T11:29:36Z</dcterms:created>
  <dcterms:modified xsi:type="dcterms:W3CDTF">2012-03-16T14:33:03Z</dcterms:modified>
  <cp:category/>
  <cp:version/>
  <cp:contentType/>
  <cp:contentStatus/>
</cp:coreProperties>
</file>