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730" tabRatio="601" activeTab="5"/>
  </bookViews>
  <sheets>
    <sheet name="3.1. Efnah." sheetId="1" r:id="rId1"/>
    <sheet name="3.2. Yfirlit" sheetId="2" r:id="rId2"/>
    <sheet name="3.3. Sjóðstr." sheetId="3" r:id="rId3"/>
    <sheet name="3.4. Kennit." sheetId="4" r:id="rId4"/>
    <sheet name="3.5. Aðrar fjárfest" sheetId="5" r:id="rId5"/>
    <sheet name="BLS81" sheetId="6" r:id="rId6"/>
  </sheets>
  <definedNames>
    <definedName name="_xlnm.Print_Area" localSheetId="0">'3.1. Efnah.'!$A$1:$BZ$61</definedName>
    <definedName name="_xlnm.Print_Area" localSheetId="1">'3.2. Yfirlit'!$A$1:$BZ$62</definedName>
    <definedName name="_xlnm.Print_Area" localSheetId="2">'3.3. Sjóðstr.'!$A$11:$BZ$56</definedName>
    <definedName name="_xlnm.Print_Area" localSheetId="3">'3.4. Kennit.'!$A$5:$CA$55</definedName>
    <definedName name="_xlnm.Print_Area" localSheetId="4">'3.5. Aðrar fjárfest'!$A$1:$BZ$61</definedName>
    <definedName name="_xlnm.Print_Area" localSheetId="5">'BLS81'!$A$1:$I$113</definedName>
    <definedName name="_xlnm.Print_Titles" localSheetId="0">'3.1. Efnah.'!$A:$A</definedName>
    <definedName name="_xlnm.Print_Titles" localSheetId="1">'3.2. Yfirlit'!$A:$A</definedName>
    <definedName name="_xlnm.Print_Titles" localSheetId="2">'3.3. Sjóðstr.'!$A:$A,'3.3. Sjóðstr.'!$5:$5</definedName>
    <definedName name="_xlnm.Print_Titles" localSheetId="3">'3.4. Kennit.'!$A:$B</definedName>
    <definedName name="_xlnm.Print_Titles" localSheetId="4">'3.5. Aðrar fjárfest'!$A:$A</definedName>
  </definedNames>
  <calcPr fullCalcOnLoad="1"/>
</workbook>
</file>

<file path=xl/sharedStrings.xml><?xml version="1.0" encoding="utf-8"?>
<sst xmlns="http://schemas.openxmlformats.org/spreadsheetml/2006/main" count="2139" uniqueCount="602">
  <si>
    <t>Lífeyrissj.</t>
  </si>
  <si>
    <t>Sameinaði</t>
  </si>
  <si>
    <t>Söfnunarsj.</t>
  </si>
  <si>
    <t>Samvinnu-</t>
  </si>
  <si>
    <t>Eftirlaunasj.</t>
  </si>
  <si>
    <t xml:space="preserve">Frjálsi </t>
  </si>
  <si>
    <t>Lífeyris-</t>
  </si>
  <si>
    <t>Almennur</t>
  </si>
  <si>
    <t xml:space="preserve">Íslenski </t>
  </si>
  <si>
    <t>Trygginga-</t>
  </si>
  <si>
    <t xml:space="preserve">ALLIR   </t>
  </si>
  <si>
    <t xml:space="preserve">ALLIR    </t>
  </si>
  <si>
    <t>Fjárhæðir í þús. kr.</t>
  </si>
  <si>
    <t>verslunar-</t>
  </si>
  <si>
    <t>sjómanna</t>
  </si>
  <si>
    <t>starfsm.</t>
  </si>
  <si>
    <t>lífeyris-</t>
  </si>
  <si>
    <t>Framsýn</t>
  </si>
  <si>
    <t>Norður-</t>
  </si>
  <si>
    <t xml:space="preserve">bænda </t>
  </si>
  <si>
    <t>Austur-</t>
  </si>
  <si>
    <t xml:space="preserve">Vest- </t>
  </si>
  <si>
    <t>Suður-</t>
  </si>
  <si>
    <t xml:space="preserve">lækna </t>
  </si>
  <si>
    <t>Vestmanna-</t>
  </si>
  <si>
    <t>Vestur-</t>
  </si>
  <si>
    <t>hjúkrunar-</t>
  </si>
  <si>
    <t>verkalfél.</t>
  </si>
  <si>
    <t xml:space="preserve">K.E.A. </t>
  </si>
  <si>
    <t>Eimskipa-</t>
  </si>
  <si>
    <t>sjóðurinn</t>
  </si>
  <si>
    <t>lífeyrissj.</t>
  </si>
  <si>
    <t>Flugvirkjaf.</t>
  </si>
  <si>
    <t>Bolungar-</t>
  </si>
  <si>
    <t>Rangæinga</t>
  </si>
  <si>
    <t>slökkvilm. á</t>
  </si>
  <si>
    <t>blaða-</t>
  </si>
  <si>
    <t>Mjólkur-</t>
  </si>
  <si>
    <t>stm. Kópa-</t>
  </si>
  <si>
    <t>Hafnarfj-</t>
  </si>
  <si>
    <t>stm. Akur-</t>
  </si>
  <si>
    <t>ísl. stjstm. á</t>
  </si>
  <si>
    <t>Tannl.fél.</t>
  </si>
  <si>
    <t>verkafólks í</t>
  </si>
  <si>
    <t>Sláturfélags</t>
  </si>
  <si>
    <t>Akranes-</t>
  </si>
  <si>
    <t>stm. Olíu-</t>
  </si>
  <si>
    <t>Félags ísl.</t>
  </si>
  <si>
    <t>stm. Húsa-</t>
  </si>
  <si>
    <t>leigubifr.-</t>
  </si>
  <si>
    <t xml:space="preserve">starfsm. </t>
  </si>
  <si>
    <t>Neskaup-</t>
  </si>
  <si>
    <t>Iðnaðarmf.</t>
  </si>
  <si>
    <t>sjóður</t>
  </si>
  <si>
    <t>stm. Vestm-</t>
  </si>
  <si>
    <t>stm. Sjóvá-</t>
  </si>
  <si>
    <t>stm. Rvík.-</t>
  </si>
  <si>
    <t>alþingis-</t>
  </si>
  <si>
    <t>ráðherra</t>
  </si>
  <si>
    <t>LÍFEYRISSJ.</t>
  </si>
  <si>
    <t xml:space="preserve">sjóðir  </t>
  </si>
  <si>
    <t>Séreigna-</t>
  </si>
  <si>
    <t xml:space="preserve">manna  </t>
  </si>
  <si>
    <t>réttinda</t>
  </si>
  <si>
    <t xml:space="preserve">lands </t>
  </si>
  <si>
    <t>firðinga</t>
  </si>
  <si>
    <t xml:space="preserve">nesja </t>
  </si>
  <si>
    <t xml:space="preserve">Íslands </t>
  </si>
  <si>
    <t>Norðurl. v</t>
  </si>
  <si>
    <t>Reykjavb.</t>
  </si>
  <si>
    <t>félags Ísl.</t>
  </si>
  <si>
    <t>Íslandsb. hf.</t>
  </si>
  <si>
    <t>Hlíf</t>
  </si>
  <si>
    <t xml:space="preserve">VÍB   </t>
  </si>
  <si>
    <t>Íslands</t>
  </si>
  <si>
    <t>víkur</t>
  </si>
  <si>
    <t>Keflavflugv.</t>
  </si>
  <si>
    <t>manna</t>
  </si>
  <si>
    <t>samsöl.</t>
  </si>
  <si>
    <t>vogskaupst.</t>
  </si>
  <si>
    <t>kaupst.</t>
  </si>
  <si>
    <t>eyrarbæjar</t>
  </si>
  <si>
    <t>Grindavík</t>
  </si>
  <si>
    <t>Suðurlands</t>
  </si>
  <si>
    <t>versl. Ísl.</t>
  </si>
  <si>
    <t xml:space="preserve">sjóðurinn </t>
  </si>
  <si>
    <t>Áburðarv.</t>
  </si>
  <si>
    <t>Skjöldur</t>
  </si>
  <si>
    <t xml:space="preserve">leikara </t>
  </si>
  <si>
    <t xml:space="preserve">bæjar  </t>
  </si>
  <si>
    <t>Eining</t>
  </si>
  <si>
    <t>víkurbæjar</t>
  </si>
  <si>
    <t xml:space="preserve">stjóra  </t>
  </si>
  <si>
    <t>Útvegsb. Ísl.</t>
  </si>
  <si>
    <t xml:space="preserve">staðar </t>
  </si>
  <si>
    <t>Suðurnesja</t>
  </si>
  <si>
    <t>lækna</t>
  </si>
  <si>
    <t>eyjabæjar</t>
  </si>
  <si>
    <t>tryggfél.Ísl.</t>
  </si>
  <si>
    <t xml:space="preserve">apóteks </t>
  </si>
  <si>
    <t xml:space="preserve">SAMTALS  </t>
  </si>
  <si>
    <t xml:space="preserve">SAMTALS </t>
  </si>
  <si>
    <t xml:space="preserve">      (1)</t>
  </si>
  <si>
    <t>(2)</t>
  </si>
  <si>
    <t>(3)</t>
  </si>
  <si>
    <t>(4)</t>
  </si>
  <si>
    <t>(5)</t>
  </si>
  <si>
    <t>(6)</t>
  </si>
  <si>
    <t>(7)</t>
  </si>
  <si>
    <t>(8)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</si>
  <si>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</si>
  <si>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</si>
  <si>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</si>
  <si>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</si>
  <si>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</si>
  <si>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</si>
  <si>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</si>
  <si>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</si>
  <si>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</si>
  <si>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</si>
  <si>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</si>
  <si>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</si>
  <si>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</si>
  <si>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</si>
  <si>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</si>
  <si>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</si>
  <si>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</si>
  <si>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</si>
  <si>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</si>
  <si>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</si>
  <si>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</si>
  <si>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</si>
  <si>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</si>
  <si>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</si>
  <si>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</si>
  <si>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</si>
  <si>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</si>
  <si>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</si>
  <si>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</si>
  <si>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</si>
  <si>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</si>
  <si>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</si>
  <si>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</si>
  <si>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</si>
  <si>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</si>
  <si>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</si>
  <si>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</si>
  <si>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</si>
  <si>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</si>
  <si>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</si>
  <si>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</si>
  <si>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(54)</t>
  </si>
  <si>
    <t>(55)</t>
  </si>
  <si>
    <t>(56)</t>
  </si>
  <si>
    <t>(57)</t>
  </si>
  <si>
    <t>(58)</t>
  </si>
  <si>
    <t>(60)</t>
  </si>
  <si>
    <t>(61)</t>
  </si>
  <si>
    <t>(62)</t>
  </si>
  <si>
    <t>(63)</t>
  </si>
  <si>
    <t>(64)</t>
  </si>
  <si>
    <t>(65)</t>
  </si>
  <si>
    <t>(66)</t>
  </si>
  <si>
    <t xml:space="preserve">HREIN EIGN TIL </t>
  </si>
  <si>
    <t>GREIÐSLU LÍFEYRIS</t>
  </si>
  <si>
    <t xml:space="preserve"> </t>
  </si>
  <si>
    <t>Skýr.</t>
  </si>
  <si>
    <t xml:space="preserve">Lífeyrisbyrði </t>
  </si>
  <si>
    <t>Kostnaður í % af iðgj.</t>
  </si>
  <si>
    <t xml:space="preserve">Kostnaður í % af eignum </t>
  </si>
  <si>
    <t>Hrein raunávöxtun</t>
  </si>
  <si>
    <t>Fjöldi sjóðfélaga</t>
  </si>
  <si>
    <t>Fjöldi lífeyrisþega</t>
  </si>
  <si>
    <t xml:space="preserve">Stöðugildi á árinu </t>
  </si>
  <si>
    <t>Ellilífeyrir  (%)</t>
  </si>
  <si>
    <t>Örorkulífeyrir  (%)</t>
  </si>
  <si>
    <t>Makalífeyrir  (%)</t>
  </si>
  <si>
    <t>Barnalífeyrir  (%)</t>
  </si>
  <si>
    <t xml:space="preserve">         Samtals:</t>
  </si>
  <si>
    <t>Ýmsar athugasemdir:</t>
  </si>
  <si>
    <t>Tekur</t>
  </si>
  <si>
    <t>ekki við</t>
  </si>
  <si>
    <t>iðgjöldum</t>
  </si>
  <si>
    <t>Raunávöxt.</t>
  </si>
  <si>
    <t>ómarktæk</t>
  </si>
  <si>
    <t>sbr. skýr. í</t>
  </si>
  <si>
    <t>inng. 3. kafla</t>
  </si>
  <si>
    <t>Skýringar á kennitölum:</t>
  </si>
  <si>
    <t>Lífeyrir í þús.kr.</t>
  </si>
  <si>
    <t>Ellilífeyrir í þús.kr.</t>
  </si>
  <si>
    <t>Örorkulífeyrir í þús.kr.</t>
  </si>
  <si>
    <t>Makalífeyrir í þús.kr.</t>
  </si>
  <si>
    <t>Barnalífeyrir í þús.kr.</t>
  </si>
  <si>
    <t xml:space="preserve">       Samtals</t>
  </si>
  <si>
    <t xml:space="preserve">   Bankar og sparisjóðir</t>
  </si>
  <si>
    <t xml:space="preserve">   Fjárfestingarlánasjóðir</t>
  </si>
  <si>
    <t xml:space="preserve">       þ.a. húsbréf</t>
  </si>
  <si>
    <t xml:space="preserve">       þ.a. húsnæðisbréf</t>
  </si>
  <si>
    <t xml:space="preserve">   Eignarleigur</t>
  </si>
  <si>
    <t xml:space="preserve">   Fyrirtæki</t>
  </si>
  <si>
    <t xml:space="preserve">   Bæjar- og sveitarfélög</t>
  </si>
  <si>
    <t xml:space="preserve">       þ.a. Húsnæðisstofnun</t>
  </si>
  <si>
    <t xml:space="preserve">   Aðrar lánastofnanir</t>
  </si>
  <si>
    <t>Fjármunatekjur nettó fyrir</t>
  </si>
  <si>
    <t>verðbreyt.færslu</t>
  </si>
  <si>
    <t>Meðalstaða eigna við útreikn.</t>
  </si>
  <si>
    <t xml:space="preserve"> á ávöxtun</t>
  </si>
  <si>
    <t>verðbreyt.færslu-kostnaður</t>
  </si>
  <si>
    <t>Meðalstaða eigna v/útr.ávx.</t>
  </si>
  <si>
    <t>Raunávöxtun - kostnaður</t>
  </si>
  <si>
    <t>Höfuðstóll</t>
  </si>
  <si>
    <t>Aukning</t>
  </si>
  <si>
    <t>þús.kr.</t>
  </si>
  <si>
    <t>%</t>
  </si>
  <si>
    <t>1.</t>
  </si>
  <si>
    <t>Lífeyrissjóður verslunarmanna</t>
  </si>
  <si>
    <t>2.</t>
  </si>
  <si>
    <t>Lífeyrissjóður sjómanna</t>
  </si>
  <si>
    <t>3.</t>
  </si>
  <si>
    <t>1)</t>
  </si>
  <si>
    <t>4.</t>
  </si>
  <si>
    <t>Sameinaði lífeyrissjóðurinn</t>
  </si>
  <si>
    <t>5.</t>
  </si>
  <si>
    <t>2)</t>
  </si>
  <si>
    <t>6.</t>
  </si>
  <si>
    <t>Söfnunarsjóður lífeyrisréttinda</t>
  </si>
  <si>
    <t>7.</t>
  </si>
  <si>
    <t>Lífeyrissjóður Norðurlands</t>
  </si>
  <si>
    <t>8.</t>
  </si>
  <si>
    <t>Samvinnulífeyrissjóðurinn</t>
  </si>
  <si>
    <t>9.</t>
  </si>
  <si>
    <t>Lífeyrissjóður bænda</t>
  </si>
  <si>
    <t>10.</t>
  </si>
  <si>
    <t>Lífeyrissjóður Austurlands</t>
  </si>
  <si>
    <t>11.</t>
  </si>
  <si>
    <t>Lífeyrissjóður Vestfirðinga</t>
  </si>
  <si>
    <t>12.</t>
  </si>
  <si>
    <t>13.</t>
  </si>
  <si>
    <t>14.</t>
  </si>
  <si>
    <t>Lífeyrissjóður Suðurnesja</t>
  </si>
  <si>
    <t>15.</t>
  </si>
  <si>
    <t>Lífeyrissjóður lækna</t>
  </si>
  <si>
    <t>16.</t>
  </si>
  <si>
    <t>17.</t>
  </si>
  <si>
    <t>18.</t>
  </si>
  <si>
    <t>19.</t>
  </si>
  <si>
    <t>20.</t>
  </si>
  <si>
    <t>Lífeyrissjóður Vesturlands</t>
  </si>
  <si>
    <t>21.</t>
  </si>
  <si>
    <t>22.</t>
  </si>
  <si>
    <t>23.</t>
  </si>
  <si>
    <t>24.</t>
  </si>
  <si>
    <t>25.</t>
  </si>
  <si>
    <t>Frjálsi lífeyrissjóðurinn</t>
  </si>
  <si>
    <t>3)</t>
  </si>
  <si>
    <t>26.</t>
  </si>
  <si>
    <t>27.</t>
  </si>
  <si>
    <t>28.</t>
  </si>
  <si>
    <t>Lífeyrissjóður K.E.A.</t>
  </si>
  <si>
    <t>29.</t>
  </si>
  <si>
    <t>Lífeyrissjóður verkalýðsfél. á Norðurl. vestra</t>
  </si>
  <si>
    <t>30.</t>
  </si>
  <si>
    <t>Lífeyrissjóður starfsmanna Reykjavíkurborgar</t>
  </si>
  <si>
    <t>31.</t>
  </si>
  <si>
    <t>32.</t>
  </si>
  <si>
    <t>Lífeyrissjóður Eimskipafélags Íslands hf.</t>
  </si>
  <si>
    <t>1) 4)</t>
  </si>
  <si>
    <t>33.</t>
  </si>
  <si>
    <t>Eftirlaunasj. starfsmanna Íslandsbanka hf.</t>
  </si>
  <si>
    <t>34.</t>
  </si>
  <si>
    <t>Lífeyrissjóðurinn Hlíf</t>
  </si>
  <si>
    <t>35.</t>
  </si>
  <si>
    <t>36.</t>
  </si>
  <si>
    <t>Almennur lífeyrissjóður VÍB</t>
  </si>
  <si>
    <t>37.</t>
  </si>
  <si>
    <t>Lífeyrissjóður Flugvirkjafélags Íslands</t>
  </si>
  <si>
    <t>38.</t>
  </si>
  <si>
    <t>39.</t>
  </si>
  <si>
    <t>Lífeyrissjóður Bolungarvíkur</t>
  </si>
  <si>
    <t>40.</t>
  </si>
  <si>
    <t>41.</t>
  </si>
  <si>
    <t>Lífeyrissjóður Rangæinga</t>
  </si>
  <si>
    <t>42.</t>
  </si>
  <si>
    <t>Eftirlaunasj. slökkviliðsmanna á Keflavíkurfl.v.</t>
  </si>
  <si>
    <t>Skýringar:</t>
  </si>
  <si>
    <t>43.</t>
  </si>
  <si>
    <t>Lífeyrissjóður blaðamanna</t>
  </si>
  <si>
    <t>44.</t>
  </si>
  <si>
    <t>45.</t>
  </si>
  <si>
    <t>Lífeyrissjóður starfsm. Kópavogskaupstaðar</t>
  </si>
  <si>
    <t>46.</t>
  </si>
  <si>
    <t>47.</t>
  </si>
  <si>
    <t>Lífeyrissjóður starfsm. Akureyrarbæjar</t>
  </si>
  <si>
    <t>48.</t>
  </si>
  <si>
    <t>Lífeyrissj. Fél. ísl. stjstarfsm. á Keflvflugvelli</t>
  </si>
  <si>
    <t>49.</t>
  </si>
  <si>
    <t>Lífeyrissjóður Tannlæknafélags Íslands</t>
  </si>
  <si>
    <t>50.</t>
  </si>
  <si>
    <t>Lífeyrissjóður verkafólks í Grindavík</t>
  </si>
  <si>
    <t>51.</t>
  </si>
  <si>
    <t>Eftirlaunasjóður Sláturf. Suðurlands</t>
  </si>
  <si>
    <t>4)</t>
  </si>
  <si>
    <t>52.</t>
  </si>
  <si>
    <t>Lífeyrissjóður Akraneskaupstaðar</t>
  </si>
  <si>
    <t>53.</t>
  </si>
  <si>
    <t>Eftirlaunasjóður starfsmanna Olíuverslunar Ísl.</t>
  </si>
  <si>
    <t>54.</t>
  </si>
  <si>
    <t>Íslenski lífeyrissjóðurinn</t>
  </si>
  <si>
    <t>55.</t>
  </si>
  <si>
    <t>56.</t>
  </si>
  <si>
    <t>57.</t>
  </si>
  <si>
    <t>Lífeyrissjóðurinn Skjöldur</t>
  </si>
  <si>
    <t>58.</t>
  </si>
  <si>
    <t>59.</t>
  </si>
  <si>
    <t>Lífeyrissjóður Félags íslenskra leikara</t>
  </si>
  <si>
    <t>3) 4)</t>
  </si>
  <si>
    <t>60.</t>
  </si>
  <si>
    <t>61.</t>
  </si>
  <si>
    <t>62.</t>
  </si>
  <si>
    <t>63.</t>
  </si>
  <si>
    <t>Lífeyrissjóðurinn Eining</t>
  </si>
  <si>
    <t>64.</t>
  </si>
  <si>
    <t>Lífeyrissjóður starfsmanna Húsavíkurbæjar</t>
  </si>
  <si>
    <t>65.</t>
  </si>
  <si>
    <t>Lífeyrissjóður leigubifreiðastjóra</t>
  </si>
  <si>
    <t>Eftirlaunasjóður starfsm. Útvegsbanka Ísl.</t>
  </si>
  <si>
    <t>Lífeyrissjóður Neskaupstaðar</t>
  </si>
  <si>
    <t>Lífeyrissjóður Iðnaðarmannafél. Suðurnesja</t>
  </si>
  <si>
    <t>Tryggingasjóður lækna</t>
  </si>
  <si>
    <t>Lífeyrissjóður starfsm. Vestmannaeyjabæjar</t>
  </si>
  <si>
    <t>Lífeyrissjóður starfsm. Sjóvátryggingafél. ísl.</t>
  </si>
  <si>
    <t>Lífeyrissjóður starfsm. Reykjavíkurapóteks</t>
  </si>
  <si>
    <t>Lífeyrissjóður alþingismanna</t>
  </si>
  <si>
    <t>Lífeyrissjóður ráðherra</t>
  </si>
  <si>
    <t>Samtals:</t>
  </si>
  <si>
    <t>(9)</t>
  </si>
  <si>
    <t>(10)</t>
  </si>
  <si>
    <t>(11)</t>
  </si>
  <si>
    <t xml:space="preserve">  </t>
  </si>
  <si>
    <t>Hækkun vísit. neysluv.(VNV)</t>
  </si>
  <si>
    <t xml:space="preserve">fremst í kafla 3 </t>
  </si>
  <si>
    <t>og kafla 4.1</t>
  </si>
  <si>
    <t>Sjá skýringu</t>
  </si>
  <si>
    <t xml:space="preserve">Raunávöxtun m.v. VNV. </t>
  </si>
  <si>
    <t>Lífeyrissjóðurinn Framsýn</t>
  </si>
  <si>
    <t>Hlutföll af</t>
  </si>
  <si>
    <t xml:space="preserve">fræðinga </t>
  </si>
  <si>
    <t>Lífeyrissjóður hjúkrunarfræðinga</t>
  </si>
  <si>
    <t>(53)</t>
  </si>
  <si>
    <t>(59)</t>
  </si>
  <si>
    <t xml:space="preserve">Ógreidd framlög atvinnurekenda </t>
  </si>
  <si>
    <t xml:space="preserve">    vegna lífeyrishækkana</t>
  </si>
  <si>
    <t>Hrein eign til greiðslu lífeyris:</t>
  </si>
  <si>
    <t xml:space="preserve"> SAMTALS  </t>
  </si>
  <si>
    <t xml:space="preserve">  ALLIR    </t>
  </si>
  <si>
    <t>Raunávöxtun</t>
  </si>
  <si>
    <t>Séreignasj.</t>
  </si>
  <si>
    <t xml:space="preserve">    þ.a. tekjur </t>
  </si>
  <si>
    <t xml:space="preserve">    þ.a.  gjöld</t>
  </si>
  <si>
    <t xml:space="preserve">    Annar rekstrarkostnaður </t>
  </si>
  <si>
    <t xml:space="preserve">    Tap af sölu fjárfestinga</t>
  </si>
  <si>
    <t xml:space="preserve">    Vaxtagjöld</t>
  </si>
  <si>
    <t xml:space="preserve">    Reikn. tekjur/gjöld v. verðl.br. </t>
  </si>
  <si>
    <t xml:space="preserve">    Hagnaður af sölu fjárfestinga</t>
  </si>
  <si>
    <t xml:space="preserve">    Vaxtatekjur og gengismunur</t>
  </si>
  <si>
    <t xml:space="preserve">    Annar beinn kostn. v/ örorkulífeyris</t>
  </si>
  <si>
    <t xml:space="preserve">    Umsjónarnefnd eftirlauna </t>
  </si>
  <si>
    <t xml:space="preserve">    Lífeyrir </t>
  </si>
  <si>
    <t xml:space="preserve">    Sjóðfélagar</t>
  </si>
  <si>
    <t xml:space="preserve">    Launagreiðendur </t>
  </si>
  <si>
    <t xml:space="preserve">    Réttindaflutn. og endurgr.</t>
  </si>
  <si>
    <t xml:space="preserve">    Sérstök aukaframlög</t>
  </si>
  <si>
    <t xml:space="preserve">     Iðgjöld    </t>
  </si>
  <si>
    <t xml:space="preserve">     Lífeyrir    </t>
  </si>
  <si>
    <t xml:space="preserve">     Fjárfestingartekjur    </t>
  </si>
  <si>
    <t xml:space="preserve">             Fjárfestingargjöld    </t>
  </si>
  <si>
    <t xml:space="preserve">     Rekstrarkostnaður    </t>
  </si>
  <si>
    <t xml:space="preserve">    Af eignarhlutum</t>
  </si>
  <si>
    <t xml:space="preserve">    Af húseignum og lóðum</t>
  </si>
  <si>
    <t xml:space="preserve">    Skrifstofu- og stjórnunarkostnaður </t>
  </si>
  <si>
    <t>Iðgjöld</t>
  </si>
  <si>
    <t>Lífeyrir</t>
  </si>
  <si>
    <t>Fjárfestingartekjur</t>
  </si>
  <si>
    <t>Fjárfestingargjöld</t>
  </si>
  <si>
    <t xml:space="preserve">Rekstrarkostnaður    </t>
  </si>
  <si>
    <t>Aðrar tekjur</t>
  </si>
  <si>
    <t>Önnur gjöld</t>
  </si>
  <si>
    <t>Hækkun á hreinni eign fyrir</t>
  </si>
  <si>
    <t>óreglulega liði og matsbreytingar</t>
  </si>
  <si>
    <t>Óreglulegar tekjur og gjöld</t>
  </si>
  <si>
    <t>Matsbreytingar</t>
  </si>
  <si>
    <t>Hækkun á hreinni eign á árinu</t>
  </si>
  <si>
    <t>Hrein eign frá fyrra ári</t>
  </si>
  <si>
    <t xml:space="preserve">EIGNIR </t>
  </si>
  <si>
    <t>SKULDIR</t>
  </si>
  <si>
    <t xml:space="preserve">      Aðrar fjárfestingar    </t>
  </si>
  <si>
    <t xml:space="preserve">Kröfur    </t>
  </si>
  <si>
    <t xml:space="preserve">Aðrar eignir    </t>
  </si>
  <si>
    <t xml:space="preserve">Viðskiptaskuldir    </t>
  </si>
  <si>
    <t>Inngreiðslur</t>
  </si>
  <si>
    <t xml:space="preserve">    Iðgjöld</t>
  </si>
  <si>
    <t xml:space="preserve">    Fjárfestingartekjur</t>
  </si>
  <si>
    <t xml:space="preserve">    Aðrar tekjur </t>
  </si>
  <si>
    <t xml:space="preserve">    Afborganir verðbréfa</t>
  </si>
  <si>
    <t xml:space="preserve">    Lækkun á bundnum innlánum</t>
  </si>
  <si>
    <t xml:space="preserve">    Seldar aðrar fjárfestingar</t>
  </si>
  <si>
    <t xml:space="preserve">    Lækkun á kröfum</t>
  </si>
  <si>
    <t xml:space="preserve">    Aðrar inngreiðslur</t>
  </si>
  <si>
    <t xml:space="preserve">Inngreiðslur    </t>
  </si>
  <si>
    <t>Útgreiðslur</t>
  </si>
  <si>
    <t xml:space="preserve">    Fjárfestingargjöld</t>
  </si>
  <si>
    <t xml:space="preserve">    Rekstrarkostnaður án afskrifta</t>
  </si>
  <si>
    <t xml:space="preserve">    Önnur gjöld </t>
  </si>
  <si>
    <t xml:space="preserve">    Hækkun á kröfum</t>
  </si>
  <si>
    <t xml:space="preserve">    Aðrar útgreiðslur</t>
  </si>
  <si>
    <t xml:space="preserve">Útgreiðslur    </t>
  </si>
  <si>
    <t>Ráðstöfunarfé til kaupa á verð-</t>
  </si>
  <si>
    <t xml:space="preserve">bréfum og annarri fjárfestingu </t>
  </si>
  <si>
    <t xml:space="preserve">    Verðbréf með breytilegum tekjum</t>
  </si>
  <si>
    <t xml:space="preserve">    Verðbréf með föstum tekjum</t>
  </si>
  <si>
    <t xml:space="preserve">    Ný veðlán og útlán</t>
  </si>
  <si>
    <t xml:space="preserve">    Aðrar fjárfestingar</t>
  </si>
  <si>
    <t xml:space="preserve">    Húseignir og lóðir</t>
  </si>
  <si>
    <t>Hækkun á handbæru fé</t>
  </si>
  <si>
    <t>Handbært fé í ársbyrjun</t>
  </si>
  <si>
    <t>Handbært fé í árslok</t>
  </si>
  <si>
    <t xml:space="preserve"> 31.12.1997</t>
  </si>
  <si>
    <t>Lífiðn</t>
  </si>
  <si>
    <t>Markaðsskuldabréf</t>
  </si>
  <si>
    <r>
      <t xml:space="preserve">SKULDIR SAMTALS    </t>
    </r>
    <r>
      <rPr>
        <i/>
        <sz val="10"/>
        <color indexed="18"/>
        <rFont val="Times New Roman"/>
        <family val="1"/>
      </rPr>
      <t xml:space="preserve">    </t>
    </r>
  </si>
  <si>
    <t xml:space="preserve">EIGNIR SAMTALS      </t>
  </si>
  <si>
    <t xml:space="preserve">    Tekjur vegna matsbr. fjárfestinga</t>
  </si>
  <si>
    <t xml:space="preserve">    Gjöld vegna matsbr. fjárfestinga</t>
  </si>
  <si>
    <t xml:space="preserve">   Ríkissjóður Íslands, alls</t>
  </si>
  <si>
    <t xml:space="preserve">       spariskírteini</t>
  </si>
  <si>
    <t xml:space="preserve">       ríkisbréf</t>
  </si>
  <si>
    <t xml:space="preserve">   Skuldabréf erlendra aðila</t>
  </si>
  <si>
    <t xml:space="preserve">       útgefin í erlendri mynt</t>
  </si>
  <si>
    <t xml:space="preserve">       útgefin í íslenskum krónum</t>
  </si>
  <si>
    <t xml:space="preserve">   Einstaklingar (s.s. sjóðfélagalán)</t>
  </si>
  <si>
    <t>Skammtímaverðbréf</t>
  </si>
  <si>
    <t>Önnur skuldabréf</t>
  </si>
  <si>
    <t>Hlutdeildarskírteini verðbréfasjóða</t>
  </si>
  <si>
    <t>Hlutabréfasjóðir</t>
  </si>
  <si>
    <t xml:space="preserve">       þ.a. erl. verðbréfasj. (open-end)</t>
  </si>
  <si>
    <t xml:space="preserve">       þ.a. erl. hlutabréfasj. (closed-end)</t>
  </si>
  <si>
    <t>Hlutabréf</t>
  </si>
  <si>
    <r>
      <t xml:space="preserve">      </t>
    </r>
    <r>
      <rPr>
        <sz val="10"/>
        <color indexed="12"/>
        <rFont val="Times New Roman"/>
        <family val="1"/>
      </rPr>
      <t>innlend hlutabréf</t>
    </r>
  </si>
  <si>
    <r>
      <t xml:space="preserve">      </t>
    </r>
    <r>
      <rPr>
        <sz val="10"/>
        <color indexed="12"/>
        <rFont val="Times New Roman"/>
        <family val="1"/>
      </rPr>
      <t>erlend hlutabréf</t>
    </r>
  </si>
  <si>
    <t>Bundin innlán hjá lánastofnunum</t>
  </si>
  <si>
    <t>Annað</t>
  </si>
  <si>
    <t xml:space="preserve">            Önnur skráð hlutabréf</t>
  </si>
  <si>
    <t xml:space="preserve">            Óskráð hlutabréf</t>
  </si>
  <si>
    <r>
      <t xml:space="preserve">            </t>
    </r>
    <r>
      <rPr>
        <sz val="8"/>
        <color indexed="12"/>
        <rFont val="Times New Roman"/>
        <family val="1"/>
      </rPr>
      <t>Skráð á Verðbréfaþingi Ísl.</t>
    </r>
  </si>
  <si>
    <t xml:space="preserve">       útgefið erlendis</t>
  </si>
  <si>
    <t>Kaup á verðbr. og önnur fjárfesting</t>
  </si>
  <si>
    <t xml:space="preserve">    Seld verðbréf m. breytil. tekjum</t>
  </si>
  <si>
    <t xml:space="preserve">    Seld verðbréf m. föstum tekjum</t>
  </si>
  <si>
    <t>Lífeyrissjóðurinn Lífiðn</t>
  </si>
  <si>
    <t>Séreignalífeyrissjóðurinn</t>
  </si>
  <si>
    <t xml:space="preserve">   Ríkissjóður Íslands og ríkisstofnanir</t>
  </si>
  <si>
    <t xml:space="preserve">       útgefið innanlands, gengisbundið</t>
  </si>
  <si>
    <t>AÐRAR FJÁRFESTINGAR ALLS</t>
  </si>
  <si>
    <r>
      <t xml:space="preserve">   </t>
    </r>
    <r>
      <rPr>
        <b/>
        <sz val="10"/>
        <color indexed="18"/>
        <rFont val="Times New Roman"/>
        <family val="1"/>
      </rPr>
      <t>Fyrirfr.gr.kostn.og áfallnar tekjur</t>
    </r>
  </si>
  <si>
    <t xml:space="preserve">   Óefnislegar eignir</t>
  </si>
  <si>
    <t xml:space="preserve">   Fjárfestingar</t>
  </si>
  <si>
    <t xml:space="preserve">     Húseignir og lóðir</t>
  </si>
  <si>
    <t xml:space="preserve">     Aðrar fjárfestingar</t>
  </si>
  <si>
    <t xml:space="preserve">     Verðbréf með breytilegum tekjum</t>
  </si>
  <si>
    <t xml:space="preserve">     Verðbréf með föstum tekjum</t>
  </si>
  <si>
    <t xml:space="preserve">     Veðlán</t>
  </si>
  <si>
    <t xml:space="preserve">     Önnur útlán</t>
  </si>
  <si>
    <t xml:space="preserve">     Bundin innlán hjá lánastofnunum</t>
  </si>
  <si>
    <t xml:space="preserve">   Kröfur</t>
  </si>
  <si>
    <t xml:space="preserve">     Á launagreiðendur</t>
  </si>
  <si>
    <t xml:space="preserve">     Aðrar kröfur</t>
  </si>
  <si>
    <t xml:space="preserve">  Aðrar eignir</t>
  </si>
  <si>
    <t xml:space="preserve">     Rekstrarfjárm. og aðrar efnisl. eignir</t>
  </si>
  <si>
    <t xml:space="preserve">     Sjóður og bankainnstæður</t>
  </si>
  <si>
    <t xml:space="preserve">     Aðrar eignir</t>
  </si>
  <si>
    <r>
      <t xml:space="preserve">  </t>
    </r>
    <r>
      <rPr>
        <b/>
        <sz val="10"/>
        <color indexed="18"/>
        <rFont val="Times New Roman"/>
        <family val="1"/>
      </rPr>
      <t>Skuldbindingar</t>
    </r>
  </si>
  <si>
    <r>
      <t xml:space="preserve">   </t>
    </r>
    <r>
      <rPr>
        <b/>
        <sz val="10"/>
        <color indexed="18"/>
        <rFont val="Times New Roman"/>
        <family val="1"/>
      </rPr>
      <t>Viðskiptaskuldir</t>
    </r>
  </si>
  <si>
    <t xml:space="preserve">     Skuldir við lánastofnanir</t>
  </si>
  <si>
    <t xml:space="preserve">     Skuldabréfalán</t>
  </si>
  <si>
    <t xml:space="preserve">     Aðrar skuldir</t>
  </si>
  <si>
    <t>HREIN EIGN Í ÁRSLOK</t>
  </si>
  <si>
    <t>TIL GREIÐSLU LÍFEYRIS</t>
  </si>
  <si>
    <r>
      <t xml:space="preserve">    Hækk. bankainnst. ( &gt;3 mán</t>
    </r>
    <r>
      <rPr>
        <u val="single"/>
        <sz val="10"/>
        <color indexed="12"/>
        <rFont val="Times New Roman"/>
        <family val="1"/>
      </rPr>
      <t>&lt;</t>
    </r>
    <r>
      <rPr>
        <sz val="10"/>
        <color indexed="12"/>
        <rFont val="Times New Roman"/>
        <family val="0"/>
      </rPr>
      <t>1 ár)</t>
    </r>
  </si>
  <si>
    <r>
      <t xml:space="preserve">    Lækk. bankainnst. ( &gt;3 mán</t>
    </r>
    <r>
      <rPr>
        <u val="single"/>
        <sz val="10"/>
        <color indexed="12"/>
        <rFont val="Times New Roman"/>
        <family val="1"/>
      </rPr>
      <t>&lt;</t>
    </r>
    <r>
      <rPr>
        <sz val="10"/>
        <color indexed="12"/>
        <rFont val="Times New Roman"/>
        <family val="0"/>
      </rPr>
      <t>1 ár)</t>
    </r>
  </si>
  <si>
    <t xml:space="preserve">    Hækkun á bundnum innl. (&gt; 1 ár)</t>
  </si>
  <si>
    <t xml:space="preserve">Markaðsskuldabréf    </t>
  </si>
  <si>
    <t xml:space="preserve">Önnur skuldabréf    </t>
  </si>
  <si>
    <t xml:space="preserve">Hlutabréf    </t>
  </si>
  <si>
    <t xml:space="preserve">Kaup á verðbr. og önnur fjárfest.  </t>
  </si>
  <si>
    <t>(13 sjóðir)</t>
  </si>
  <si>
    <t>Kostn. á hv. virkan sjóðf.</t>
  </si>
  <si>
    <t>Reykjanes-</t>
  </si>
  <si>
    <t>Eftirlaunasjóður Reykjanesbæjar</t>
  </si>
  <si>
    <t xml:space="preserve">Meðalávöxtun </t>
  </si>
  <si>
    <t>frá stofnun</t>
  </si>
  <si>
    <t>eyja</t>
  </si>
  <si>
    <t xml:space="preserve">eyja </t>
  </si>
  <si>
    <t>Lífeyrissjóður Vestmannaeyja</t>
  </si>
  <si>
    <t xml:space="preserve"> 1.  Lífeyrisgreiðslur sem hlutfall af iðgjöldum.</t>
  </si>
  <si>
    <t xml:space="preserve"> 2.  Kostnaður (rekstrarkostnaður + önnur gjöld - aðrar tekjur) sem hlutfall af iðgjöldum.</t>
  </si>
  <si>
    <t xml:space="preserve"> 3.  Kostnaður (rekstrarkostnaður + önnur gjöld - aðrar tekjur) sem hlutfall af meðaltali </t>
  </si>
  <si>
    <t xml:space="preserve">      hreinnar eignar í ársbyrjun og árslok.</t>
  </si>
  <si>
    <t>st.m. ríkisins</t>
  </si>
  <si>
    <t>B-deild</t>
  </si>
  <si>
    <t>A-deild</t>
  </si>
  <si>
    <t>66.</t>
  </si>
  <si>
    <t>Lífeyrissjóður starfsmanna ríkisins A-deild</t>
  </si>
  <si>
    <t>Lífeyrissjóður starfsmanna ríkisins B-deild</t>
  </si>
  <si>
    <t>(66 sjóðir)</t>
  </si>
  <si>
    <t xml:space="preserve"> 9.  Hrein raunávöxtun miðað við vísitölu neysluverðs þar sem  </t>
  </si>
  <si>
    <t>Eftirlaunasjóður FÍA</t>
  </si>
  <si>
    <t>Eftirlauna-</t>
  </si>
  <si>
    <t>FÍA</t>
  </si>
  <si>
    <t>Eftirlaunasj. starfsm. Hafnarfjarðarkaupstaðar</t>
  </si>
  <si>
    <t>Lífeyrissj. starfsm. Áburðarverksmiðju ríkisins</t>
  </si>
  <si>
    <t>10. Meðaltal hreinnar raunávöxtunar síðustu 5 ára samkvæmt ársreikningum.</t>
  </si>
  <si>
    <t>11. Meðaltal fjölda sjóðfélaga sem greiddi iðgjald vegna mars og október.</t>
  </si>
  <si>
    <t>12. Meðaltal fjölda lífeyrisþega sem fékk greiddan lífeyri vegna mars og október.</t>
  </si>
  <si>
    <t>13. Reiknast sem slysatryggðar vinnuvikur deilt með 52.</t>
  </si>
  <si>
    <t>14. Lífeyrir skv. reglugerð sjóðsins sbr. skýringu í 3. kafla.</t>
  </si>
  <si>
    <t xml:space="preserve">   Áfallinn kostn. og f.fr.innh.tekjur</t>
  </si>
  <si>
    <t>frá 1995.</t>
  </si>
  <si>
    <t>frá 1996.</t>
  </si>
  <si>
    <t>Meðalávöxtun</t>
  </si>
  <si>
    <r>
      <t xml:space="preserve">     Aðrar fjárfestingar </t>
    </r>
    <r>
      <rPr>
        <i/>
        <sz val="8"/>
        <color indexed="18"/>
        <rFont val="Times New Roman"/>
        <family val="1"/>
      </rPr>
      <t>1)</t>
    </r>
  </si>
  <si>
    <t>Fjárfestingar</t>
  </si>
  <si>
    <t>Rekstrarkostn. í % af iðgj.</t>
  </si>
  <si>
    <t>Rekstrark. í % af eignum</t>
  </si>
  <si>
    <t>Rekstrark. á hv. virk. sjóðf.</t>
  </si>
  <si>
    <t xml:space="preserve"> 5.  Rekstrarkostnaður sem hlutfall af iðgjöldum.</t>
  </si>
  <si>
    <t xml:space="preserve"> 6.  Rekstrarkostnaður sem hlutfall af meðaltali hreinnar eignar í ársbyrjun og árslok.</t>
  </si>
  <si>
    <t xml:space="preserve"> 7.  Rekstrarkostnaður á hvern virkan sjóðfélaga. </t>
  </si>
  <si>
    <t xml:space="preserve">      kostnaður(rekstrarkostnaður + önnur gjöld - aðrar tekjur) er dreginn frá fjárfestingartekjum.</t>
  </si>
  <si>
    <t>Sundurliðun innl. og erl. hlutabréfaeignar:</t>
  </si>
  <si>
    <t>Samtals</t>
  </si>
  <si>
    <t xml:space="preserve">   (Hlutabréf hlutabréfasjóða ekki talin með)</t>
  </si>
  <si>
    <t>annarra</t>
  </si>
  <si>
    <t>Sameignarsjóðir án                   ábyrgðar annarra</t>
  </si>
  <si>
    <t>SAL</t>
  </si>
  <si>
    <t>Aðrir</t>
  </si>
  <si>
    <t>Sameignarsj.</t>
  </si>
  <si>
    <t>með ábyrgð</t>
  </si>
  <si>
    <t xml:space="preserve"> 4.  Kostnaður (rekstrarkostnaður + önnur gjöld - aðrar tekjur) á hvern virkan sjóðfélaga. </t>
  </si>
  <si>
    <t xml:space="preserve"> 31.12.1998</t>
  </si>
  <si>
    <t>árið 1998</t>
  </si>
  <si>
    <t xml:space="preserve">       3.6. YFIRLIT YFIR LÍFEYRISSJÓÐI Í STÆRÐARRÖÐ 31.12.1998</t>
  </si>
  <si>
    <t>banka-</t>
  </si>
  <si>
    <t>Lífeyrissjóður bankamanna</t>
  </si>
  <si>
    <t xml:space="preserve">arkitekta og </t>
  </si>
  <si>
    <t>tæknifr.</t>
  </si>
  <si>
    <t>sveitarfél.</t>
  </si>
  <si>
    <t>Lífeyrissjóður arkitekta og tæknifræðinga</t>
  </si>
  <si>
    <t>Lífeyrissjóður starfsmanna sveitarfélaga</t>
  </si>
  <si>
    <t>Lífeyrisssj.</t>
  </si>
  <si>
    <t>1996-1998.</t>
  </si>
  <si>
    <t xml:space="preserve">Ávöxtun frá </t>
  </si>
  <si>
    <t xml:space="preserve">kaupst. </t>
  </si>
  <si>
    <t>Lífeyrissjóður Suðurlands</t>
  </si>
  <si>
    <t>Lífeyrissjóður verkfræðinga</t>
  </si>
  <si>
    <t>fræðinga</t>
  </si>
  <si>
    <t>verk-</t>
  </si>
  <si>
    <t>Búnaðarb.</t>
  </si>
  <si>
    <t xml:space="preserve">4)  Tekur ekki við iðgjöldum.  5) Lífeyrissjóðir sem sameinast viðkomandi sjóði árið 1998 eru meðtaldir í árslok 1997.  </t>
  </si>
  <si>
    <t xml:space="preserve">4)   Tekur ekki við iðgjöldum.  5) Lífeyrissjóðir sem sameinast viðkomandi sjóði árið 1998 eru meðtaldir í árslok 1997.  </t>
  </si>
  <si>
    <t xml:space="preserve">Hætti að taka </t>
  </si>
  <si>
    <t>5)</t>
  </si>
  <si>
    <t xml:space="preserve">Raunávöxt. og </t>
  </si>
  <si>
    <t xml:space="preserve">Byrjaði að </t>
  </si>
  <si>
    <t>hlutf. af iðgj.</t>
  </si>
  <si>
    <t>Útreikningur á kennitölum:</t>
  </si>
  <si>
    <t>Rekstrarkostnaður</t>
  </si>
  <si>
    <t xml:space="preserve">Hrein eign </t>
  </si>
  <si>
    <t xml:space="preserve">1. Lífeyrisbyrði </t>
  </si>
  <si>
    <t>2. Kostnaður í % af iðgj.</t>
  </si>
  <si>
    <t xml:space="preserve">3. Kostnaður í % af eignum </t>
  </si>
  <si>
    <t>4. Kostn. á hv. virkan sjóðf.</t>
  </si>
  <si>
    <t>5. Rekstrarkostn. í % af iðgj.</t>
  </si>
  <si>
    <t>6. Rekstrark. í % af eignum</t>
  </si>
  <si>
    <t>7. Rekstrark. á hv. virk. sjóðf.</t>
  </si>
  <si>
    <t>Ávöxtun</t>
  </si>
  <si>
    <t>(10 sjóðir)</t>
  </si>
  <si>
    <t>(56 sjóðir)</t>
  </si>
  <si>
    <t xml:space="preserve">Meðalávöxtun 1994-1998 </t>
  </si>
  <si>
    <t>Lífeyrissjóður starfsm. Búnaðarbanka Íslands hf.</t>
  </si>
  <si>
    <t>(19 sjóðir)</t>
  </si>
  <si>
    <t>(24 sjóðir)</t>
  </si>
  <si>
    <t>1)  Ábyrgð annarra á skuldbindingum.  2)  SAL-sjóður.  3)  Séreignasjóður.</t>
  </si>
  <si>
    <t>1)    Ábyrgð annarra á skuldbindingum.  2)  SAL-sjóður.  3)  Séreignasjóður.</t>
  </si>
  <si>
    <t xml:space="preserve">Lífeyrissjóður Mjólkursamsölunnar               </t>
  </si>
  <si>
    <t xml:space="preserve"> 8.  Raunávöxtun eigna miðað við vísitölu neysluverðs (1,27% hækkun á árinu 1998). </t>
  </si>
  <si>
    <t xml:space="preserve">stofnun </t>
  </si>
  <si>
    <t xml:space="preserve"> 1.7.1998</t>
  </si>
  <si>
    <t>við iðgjöldum</t>
  </si>
  <si>
    <t>í desember og</t>
  </si>
  <si>
    <t>eru því hlutf.</t>
  </si>
  <si>
    <t>ómarktæk.</t>
  </si>
  <si>
    <t xml:space="preserve">taka við iðgj.  </t>
  </si>
</sst>
</file>

<file path=xl/styles.xml><?xml version="1.0" encoding="utf-8"?>
<styleSheet xmlns="http://schemas.openxmlformats.org/spreadsheetml/2006/main">
  <numFmts count="3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General_)"/>
    <numFmt numFmtId="177" formatCode="#,##0_);\(#,##0\)"/>
    <numFmt numFmtId="178" formatCode="0.0_)"/>
    <numFmt numFmtId="179" formatCode="0.0"/>
    <numFmt numFmtId="180" formatCode="0.0%"/>
    <numFmt numFmtId="181" formatCode="#,##0.0"/>
    <numFmt numFmtId="182" formatCode="0.000"/>
    <numFmt numFmtId="183" formatCode="#,##0.0;\-#,##0.0"/>
    <numFmt numFmtId="184" formatCode="0.000%"/>
    <numFmt numFmtId="185" formatCode="#,##0.0;[Red]\-#,##0.0"/>
    <numFmt numFmtId="186" formatCode="#,##0.000;[Red]\-#,##0.000"/>
    <numFmt numFmtId="187" formatCode="#,##0.000"/>
    <numFmt numFmtId="188" formatCode="#,##0.0000"/>
    <numFmt numFmtId="189" formatCode="#,##0\ &quot;kr.&quot;"/>
    <numFmt numFmtId="190" formatCode="00000"/>
    <numFmt numFmtId="191" formatCode="m/d"/>
    <numFmt numFmtId="192" formatCode="m/d/yy"/>
  </numFmts>
  <fonts count="74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i/>
      <sz val="10"/>
      <color indexed="12"/>
      <name val="Times New Roman"/>
      <family val="0"/>
    </font>
    <font>
      <sz val="10"/>
      <color indexed="12"/>
      <name val="Times New Roman"/>
      <family val="0"/>
    </font>
    <font>
      <b/>
      <u val="single"/>
      <sz val="12"/>
      <color indexed="12"/>
      <name val="Times New Roman"/>
      <family val="0"/>
    </font>
    <font>
      <b/>
      <u val="single"/>
      <sz val="12"/>
      <name val="Times New Roman"/>
      <family val="0"/>
    </font>
    <font>
      <sz val="10"/>
      <color indexed="12"/>
      <name val="Courier"/>
      <family val="0"/>
    </font>
    <font>
      <b/>
      <sz val="10"/>
      <color indexed="12"/>
      <name val="Times New Roman"/>
      <family val="0"/>
    </font>
    <font>
      <sz val="8"/>
      <name val="Times New Roman"/>
      <family val="0"/>
    </font>
    <font>
      <sz val="10"/>
      <color indexed="18"/>
      <name val="Times New Roman"/>
      <family val="0"/>
    </font>
    <font>
      <b/>
      <sz val="10"/>
      <color indexed="18"/>
      <name val="Times New Roman"/>
      <family val="0"/>
    </font>
    <font>
      <sz val="10"/>
      <color indexed="18"/>
      <name val="Courier"/>
      <family val="0"/>
    </font>
    <font>
      <b/>
      <sz val="14"/>
      <color indexed="12"/>
      <name val="Times New Roman"/>
      <family val="1"/>
    </font>
    <font>
      <sz val="9"/>
      <color indexed="12"/>
      <name val="Times New Roman"/>
      <family val="0"/>
    </font>
    <font>
      <sz val="9"/>
      <name val="Courie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18"/>
      <name val="Times New Roman"/>
      <family val="0"/>
    </font>
    <font>
      <sz val="8"/>
      <name val="Courier"/>
      <family val="0"/>
    </font>
    <font>
      <sz val="9"/>
      <color indexed="18"/>
      <name val="Times New Roman"/>
      <family val="0"/>
    </font>
    <font>
      <b/>
      <sz val="9"/>
      <color indexed="18"/>
      <name val="Times New Roman"/>
      <family val="1"/>
    </font>
    <font>
      <sz val="10"/>
      <color indexed="10"/>
      <name val="Times New Roman"/>
      <family val="1"/>
    </font>
    <font>
      <i/>
      <sz val="10"/>
      <color indexed="12"/>
      <name val="Times New Roman"/>
      <family val="1"/>
    </font>
    <font>
      <i/>
      <sz val="10"/>
      <color indexed="18"/>
      <name val="Times New Roman"/>
      <family val="1"/>
    </font>
    <font>
      <sz val="10"/>
      <color indexed="10"/>
      <name val="Courier"/>
      <family val="0"/>
    </font>
    <font>
      <b/>
      <sz val="10"/>
      <color indexed="10"/>
      <name val="Times New Roman"/>
      <family val="0"/>
    </font>
    <font>
      <sz val="9"/>
      <color indexed="10"/>
      <name val="Courier"/>
      <family val="0"/>
    </font>
    <font>
      <sz val="9"/>
      <color indexed="10"/>
      <name val="Times New Roman"/>
      <family val="1"/>
    </font>
    <font>
      <sz val="8"/>
      <color indexed="10"/>
      <name val="Courier"/>
      <family val="0"/>
    </font>
    <font>
      <sz val="10"/>
      <color indexed="56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0"/>
      <color indexed="18"/>
      <name val="Times New Roman"/>
      <family val="1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i/>
      <sz val="8"/>
      <color indexed="18"/>
      <name val="Times New Roman"/>
      <family val="1"/>
    </font>
    <font>
      <b/>
      <sz val="8"/>
      <color indexed="12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Courie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27">
    <xf numFmtId="176" fontId="0" fillId="0" borderId="0" xfId="0" applyAlignment="1">
      <alignment/>
    </xf>
    <xf numFmtId="3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6" fillId="0" borderId="0" xfId="0" applyNumberFormat="1" applyFont="1" applyAlignment="1" applyProtection="1">
      <alignment horizontal="centerContinuous"/>
      <protection locked="0"/>
    </xf>
    <xf numFmtId="3" fontId="9" fillId="0" borderId="0" xfId="0" applyNumberFormat="1" applyFont="1" applyAlignment="1" applyProtection="1">
      <alignment horizontal="fill"/>
      <protection locked="0"/>
    </xf>
    <xf numFmtId="172" fontId="6" fillId="0" borderId="0" xfId="0" applyNumberFormat="1" applyFont="1" applyAlignment="1" applyProtection="1">
      <alignment horizontal="left"/>
      <protection locked="0"/>
    </xf>
    <xf numFmtId="172" fontId="10" fillId="0" borderId="0" xfId="0" applyNumberFormat="1" applyFont="1" applyAlignment="1" applyProtection="1">
      <alignment horizontal="right"/>
      <protection locked="0"/>
    </xf>
    <xf numFmtId="172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172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 locked="0"/>
    </xf>
    <xf numFmtId="178" fontId="6" fillId="0" borderId="0" xfId="0" applyNumberFormat="1" applyFont="1" applyAlignment="1" applyProtection="1">
      <alignment/>
      <protection locked="0"/>
    </xf>
    <xf numFmtId="0" fontId="4" fillId="0" borderId="0" xfId="55" applyAlignment="1">
      <alignment horizontal="right"/>
      <protection/>
    </xf>
    <xf numFmtId="3" fontId="4" fillId="0" borderId="0" xfId="55" applyNumberFormat="1">
      <alignment/>
      <protection/>
    </xf>
    <xf numFmtId="0" fontId="4" fillId="0" borderId="0" xfId="55">
      <alignment/>
      <protection/>
    </xf>
    <xf numFmtId="0" fontId="1" fillId="0" borderId="0" xfId="55" applyFont="1">
      <alignment/>
      <protection/>
    </xf>
    <xf numFmtId="180" fontId="4" fillId="0" borderId="0" xfId="55" applyNumberFormat="1">
      <alignment/>
      <protection/>
    </xf>
    <xf numFmtId="3" fontId="4" fillId="0" borderId="10" xfId="55" applyNumberFormat="1" applyBorder="1">
      <alignment/>
      <protection/>
    </xf>
    <xf numFmtId="0" fontId="1" fillId="0" borderId="0" xfId="55" applyFont="1" applyAlignment="1">
      <alignment horizontal="right"/>
      <protection/>
    </xf>
    <xf numFmtId="172" fontId="6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6" fontId="9" fillId="0" borderId="0" xfId="0" applyFont="1" applyAlignment="1">
      <alignment/>
    </xf>
    <xf numFmtId="3" fontId="9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/>
      <protection/>
    </xf>
    <xf numFmtId="172" fontId="6" fillId="0" borderId="0" xfId="0" applyNumberFormat="1" applyFont="1" applyAlignment="1" applyProtection="1">
      <alignment horizontal="left"/>
      <protection/>
    </xf>
    <xf numFmtId="3" fontId="6" fillId="0" borderId="0" xfId="0" applyNumberFormat="1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fill"/>
      <protection/>
    </xf>
    <xf numFmtId="180" fontId="6" fillId="0" borderId="0" xfId="0" applyNumberFormat="1" applyFont="1" applyAlignment="1" applyProtection="1">
      <alignment/>
      <protection/>
    </xf>
    <xf numFmtId="179" fontId="4" fillId="0" borderId="0" xfId="0" applyNumberFormat="1" applyFont="1" applyAlignment="1" applyProtection="1">
      <alignment/>
      <protection/>
    </xf>
    <xf numFmtId="176" fontId="14" fillId="33" borderId="0" xfId="0" applyFont="1" applyFill="1" applyAlignment="1">
      <alignment/>
    </xf>
    <xf numFmtId="172" fontId="12" fillId="33" borderId="0" xfId="0" applyNumberFormat="1" applyFont="1" applyFill="1" applyAlignment="1" applyProtection="1" quotePrefix="1">
      <alignment horizontal="right"/>
      <protection locked="0"/>
    </xf>
    <xf numFmtId="3" fontId="3" fillId="33" borderId="0" xfId="0" applyNumberFormat="1" applyFont="1" applyFill="1" applyAlignment="1" applyProtection="1">
      <alignment horizontal="left"/>
      <protection locked="0"/>
    </xf>
    <xf numFmtId="3" fontId="12" fillId="33" borderId="0" xfId="0" applyNumberFormat="1" applyFont="1" applyFill="1" applyAlignment="1">
      <alignment/>
    </xf>
    <xf numFmtId="172" fontId="13" fillId="33" borderId="0" xfId="0" applyNumberFormat="1" applyFont="1" applyFill="1" applyAlignment="1" applyProtection="1">
      <alignment horizontal="center"/>
      <protection locked="0"/>
    </xf>
    <xf numFmtId="3" fontId="4" fillId="33" borderId="0" xfId="0" applyNumberFormat="1" applyFont="1" applyFill="1" applyAlignment="1" applyProtection="1">
      <alignment/>
      <protection/>
    </xf>
    <xf numFmtId="176" fontId="0" fillId="33" borderId="0" xfId="0" applyFill="1" applyAlignment="1" applyProtection="1">
      <alignment/>
      <protection/>
    </xf>
    <xf numFmtId="3" fontId="6" fillId="33" borderId="0" xfId="0" applyNumberFormat="1" applyFont="1" applyFill="1" applyAlignment="1" applyProtection="1">
      <alignment horizontal="left"/>
      <protection/>
    </xf>
    <xf numFmtId="3" fontId="5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 horizontal="left"/>
      <protection/>
    </xf>
    <xf numFmtId="176" fontId="0" fillId="33" borderId="0" xfId="0" applyFill="1" applyBorder="1" applyAlignment="1" applyProtection="1">
      <alignment/>
      <protection/>
    </xf>
    <xf numFmtId="172" fontId="10" fillId="33" borderId="0" xfId="0" applyNumberFormat="1" applyFont="1" applyFill="1" applyAlignment="1" applyProtection="1">
      <alignment horizontal="center"/>
      <protection/>
    </xf>
    <xf numFmtId="172" fontId="15" fillId="33" borderId="0" xfId="0" applyNumberFormat="1" applyFont="1" applyFill="1" applyAlignment="1" applyProtection="1">
      <alignment horizontal="centerContinuous"/>
      <protection locked="0"/>
    </xf>
    <xf numFmtId="3" fontId="0" fillId="0" borderId="0" xfId="0" applyNumberFormat="1" applyAlignment="1" applyProtection="1">
      <alignment horizontal="centerContinuous"/>
      <protection locked="0"/>
    </xf>
    <xf numFmtId="176" fontId="0" fillId="0" borderId="0" xfId="0" applyAlignment="1" applyProtection="1">
      <alignment horizontal="centerContinuous"/>
      <protection locked="0"/>
    </xf>
    <xf numFmtId="172" fontId="0" fillId="0" borderId="0" xfId="0" applyNumberFormat="1" applyAlignment="1" applyProtection="1">
      <alignment horizontal="centerContinuous"/>
      <protection locked="0"/>
    </xf>
    <xf numFmtId="3" fontId="4" fillId="0" borderId="0" xfId="0" applyNumberFormat="1" applyFont="1" applyAlignment="1" applyProtection="1">
      <alignment horizontal="centerContinuous"/>
      <protection locked="0"/>
    </xf>
    <xf numFmtId="3" fontId="6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176" fontId="0" fillId="0" borderId="0" xfId="0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centerContinuous"/>
      <protection locked="0"/>
    </xf>
    <xf numFmtId="172" fontId="1" fillId="0" borderId="0" xfId="0" applyNumberFormat="1" applyFont="1" applyAlignment="1" applyProtection="1">
      <alignment horizontal="centerContinuous"/>
      <protection locked="0"/>
    </xf>
    <xf numFmtId="172" fontId="8" fillId="0" borderId="0" xfId="0" applyNumberFormat="1" applyFont="1" applyAlignment="1" applyProtection="1">
      <alignment horizontal="centerContinuous"/>
      <protection locked="0"/>
    </xf>
    <xf numFmtId="172" fontId="6" fillId="0" borderId="0" xfId="0" applyNumberFormat="1" applyFon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6" fontId="0" fillId="0" borderId="0" xfId="0" applyAlignment="1" applyProtection="1">
      <alignment/>
      <protection locked="0"/>
    </xf>
    <xf numFmtId="172" fontId="4" fillId="0" borderId="0" xfId="0" applyNumberFormat="1" applyFont="1" applyAlignment="1" applyProtection="1">
      <alignment/>
      <protection locked="0"/>
    </xf>
    <xf numFmtId="172" fontId="7" fillId="0" borderId="0" xfId="0" applyNumberFormat="1" applyFont="1" applyAlignment="1" applyProtection="1">
      <alignment horizontal="center"/>
      <protection locked="0"/>
    </xf>
    <xf numFmtId="10" fontId="6" fillId="33" borderId="0" xfId="0" applyNumberFormat="1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3" fontId="6" fillId="33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left"/>
      <protection locked="0"/>
    </xf>
    <xf numFmtId="172" fontId="10" fillId="33" borderId="0" xfId="0" applyNumberFormat="1" applyFont="1" applyFill="1" applyAlignment="1">
      <alignment/>
    </xf>
    <xf numFmtId="172" fontId="6" fillId="33" borderId="0" xfId="0" applyNumberFormat="1" applyFont="1" applyFill="1" applyAlignment="1" applyProtection="1">
      <alignment horizontal="left"/>
      <protection locked="0"/>
    </xf>
    <xf numFmtId="172" fontId="6" fillId="33" borderId="0" xfId="0" applyNumberFormat="1" applyFont="1" applyFill="1" applyAlignment="1">
      <alignment/>
    </xf>
    <xf numFmtId="3" fontId="10" fillId="33" borderId="0" xfId="0" applyNumberFormat="1" applyFont="1" applyFill="1" applyAlignment="1" applyProtection="1">
      <alignment horizontal="left"/>
      <protection locked="0"/>
    </xf>
    <xf numFmtId="3" fontId="10" fillId="33" borderId="0" xfId="0" applyNumberFormat="1" applyFont="1" applyFill="1" applyAlignment="1">
      <alignment/>
    </xf>
    <xf numFmtId="176" fontId="9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172" fontId="10" fillId="33" borderId="0" xfId="0" applyNumberFormat="1" applyFont="1" applyFill="1" applyAlignment="1" applyProtection="1">
      <alignment horizontal="right"/>
      <protection locked="0"/>
    </xf>
    <xf numFmtId="172" fontId="10" fillId="33" borderId="0" xfId="0" applyNumberFormat="1" applyFont="1" applyFill="1" applyAlignment="1" applyProtection="1">
      <alignment horizontal="center"/>
      <protection locked="0"/>
    </xf>
    <xf numFmtId="0" fontId="4" fillId="0" borderId="0" xfId="55" applyFont="1" applyAlignment="1">
      <alignment horizontal="right"/>
      <protection/>
    </xf>
    <xf numFmtId="176" fontId="4" fillId="33" borderId="0" xfId="0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16" fillId="33" borderId="0" xfId="0" applyNumberFormat="1" applyFont="1" applyFill="1" applyAlignment="1" applyProtection="1">
      <alignment horizontal="left"/>
      <protection/>
    </xf>
    <xf numFmtId="176" fontId="17" fillId="0" borderId="0" xfId="0" applyFont="1" applyAlignment="1">
      <alignment/>
    </xf>
    <xf numFmtId="177" fontId="4" fillId="33" borderId="0" xfId="0" applyNumberFormat="1" applyFont="1" applyFill="1" applyAlignment="1" applyProtection="1" quotePrefix="1">
      <alignment horizontal="right"/>
      <protection/>
    </xf>
    <xf numFmtId="3" fontId="10" fillId="33" borderId="0" xfId="0" applyNumberFormat="1" applyFont="1" applyFill="1" applyAlignment="1" applyProtection="1">
      <alignment horizontal="right"/>
      <protection/>
    </xf>
    <xf numFmtId="0" fontId="18" fillId="0" borderId="0" xfId="55" applyFont="1">
      <alignment/>
      <protection/>
    </xf>
    <xf numFmtId="176" fontId="4" fillId="0" borderId="0" xfId="0" applyFont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6" fontId="21" fillId="0" borderId="0" xfId="0" applyFont="1" applyAlignment="1">
      <alignment/>
    </xf>
    <xf numFmtId="3" fontId="23" fillId="33" borderId="0" xfId="0" applyNumberFormat="1" applyFont="1" applyFill="1" applyAlignment="1">
      <alignment/>
    </xf>
    <xf numFmtId="176" fontId="17" fillId="0" borderId="0" xfId="0" applyFont="1" applyAlignment="1" applyProtection="1">
      <alignment/>
      <protection/>
    </xf>
    <xf numFmtId="3" fontId="18" fillId="33" borderId="0" xfId="0" applyNumberFormat="1" applyFont="1" applyFill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" fontId="24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/>
    </xf>
    <xf numFmtId="172" fontId="12" fillId="33" borderId="0" xfId="0" applyNumberFormat="1" applyFont="1" applyFill="1" applyAlignment="1" applyProtection="1" quotePrefix="1">
      <alignment horizontal="center"/>
      <protection locked="0"/>
    </xf>
    <xf numFmtId="176" fontId="0" fillId="33" borderId="0" xfId="0" applyFill="1" applyAlignment="1" applyProtection="1">
      <alignment horizontal="center"/>
      <protection/>
    </xf>
    <xf numFmtId="172" fontId="24" fillId="0" borderId="0" xfId="0" applyNumberFormat="1" applyFont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 horizontal="right"/>
      <protection/>
    </xf>
    <xf numFmtId="3" fontId="10" fillId="33" borderId="0" xfId="0" applyNumberFormat="1" applyFont="1" applyFill="1" applyBorder="1" applyAlignment="1" applyProtection="1">
      <alignment horizontal="left"/>
      <protection/>
    </xf>
    <xf numFmtId="172" fontId="27" fillId="0" borderId="0" xfId="0" applyNumberFormat="1" applyFont="1" applyAlignment="1">
      <alignment/>
    </xf>
    <xf numFmtId="172" fontId="24" fillId="0" borderId="0" xfId="0" applyNumberFormat="1" applyFont="1" applyAlignment="1">
      <alignment/>
    </xf>
    <xf numFmtId="172" fontId="24" fillId="0" borderId="0" xfId="0" applyNumberFormat="1" applyFont="1" applyAlignment="1" applyProtection="1">
      <alignment horizontal="left"/>
      <protection locked="0"/>
    </xf>
    <xf numFmtId="172" fontId="29" fillId="0" borderId="0" xfId="0" applyNumberFormat="1" applyFont="1" applyAlignment="1">
      <alignment/>
    </xf>
    <xf numFmtId="172" fontId="30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76" fontId="27" fillId="0" borderId="0" xfId="0" applyFont="1" applyAlignment="1">
      <alignment/>
    </xf>
    <xf numFmtId="3" fontId="32" fillId="0" borderId="0" xfId="0" applyNumberFormat="1" applyFont="1" applyAlignment="1" applyProtection="1">
      <alignment/>
      <protection locked="0"/>
    </xf>
    <xf numFmtId="3" fontId="3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 horizontal="center"/>
      <protection/>
    </xf>
    <xf numFmtId="3" fontId="6" fillId="33" borderId="0" xfId="0" applyNumberFormat="1" applyFont="1" applyFill="1" applyAlignment="1" applyProtection="1">
      <alignment horizontal="left"/>
      <protection/>
    </xf>
    <xf numFmtId="3" fontId="25" fillId="33" borderId="0" xfId="0" applyNumberFormat="1" applyFont="1" applyFill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 horizontal="left"/>
      <protection/>
    </xf>
    <xf numFmtId="180" fontId="24" fillId="0" borderId="0" xfId="0" applyNumberFormat="1" applyFont="1" applyAlignment="1" applyProtection="1">
      <alignment/>
      <protection/>
    </xf>
    <xf numFmtId="3" fontId="13" fillId="33" borderId="0" xfId="0" applyNumberFormat="1" applyFont="1" applyFill="1" applyAlignment="1" applyProtection="1">
      <alignment horizontal="center"/>
      <protection/>
    </xf>
    <xf numFmtId="172" fontId="13" fillId="33" borderId="0" xfId="0" applyNumberFormat="1" applyFont="1" applyFill="1" applyAlignment="1" applyProtection="1">
      <alignment horizontal="center"/>
      <protection/>
    </xf>
    <xf numFmtId="172" fontId="12" fillId="33" borderId="0" xfId="0" applyNumberFormat="1" applyFont="1" applyFill="1" applyAlignment="1" applyProtection="1" quotePrefix="1">
      <alignment horizontal="center"/>
      <protection/>
    </xf>
    <xf numFmtId="172" fontId="12" fillId="33" borderId="0" xfId="0" applyNumberFormat="1" applyFont="1" applyFill="1" applyAlignment="1" applyProtection="1">
      <alignment horizontal="center"/>
      <protection/>
    </xf>
    <xf numFmtId="3" fontId="0" fillId="33" borderId="0" xfId="0" applyNumberFormat="1" applyFont="1" applyFill="1" applyAlignment="1" applyProtection="1">
      <alignment/>
      <protection/>
    </xf>
    <xf numFmtId="172" fontId="24" fillId="0" borderId="0" xfId="0" applyNumberFormat="1" applyFont="1" applyAlignment="1" applyProtection="1">
      <alignment/>
      <protection/>
    </xf>
    <xf numFmtId="3" fontId="12" fillId="33" borderId="0" xfId="0" applyNumberFormat="1" applyFont="1" applyFill="1" applyAlignment="1" applyProtection="1">
      <alignment/>
      <protection/>
    </xf>
    <xf numFmtId="172" fontId="28" fillId="33" borderId="0" xfId="0" applyNumberFormat="1" applyFont="1" applyFill="1" applyAlignment="1" applyProtection="1">
      <alignment horizontal="center"/>
      <protection/>
    </xf>
    <xf numFmtId="3" fontId="12" fillId="33" borderId="0" xfId="0" applyNumberFormat="1" applyFont="1" applyFill="1" applyAlignment="1" applyProtection="1">
      <alignment horizontal="left"/>
      <protection/>
    </xf>
    <xf numFmtId="49" fontId="12" fillId="33" borderId="0" xfId="0" applyNumberFormat="1" applyFont="1" applyFill="1" applyAlignment="1" applyProtection="1">
      <alignment horizontal="center"/>
      <protection/>
    </xf>
    <xf numFmtId="172" fontId="27" fillId="0" borderId="0" xfId="0" applyNumberFormat="1" applyFont="1" applyAlignment="1" applyProtection="1">
      <alignment/>
      <protection/>
    </xf>
    <xf numFmtId="3" fontId="13" fillId="33" borderId="0" xfId="0" applyNumberFormat="1" applyFont="1" applyFill="1" applyAlignment="1" applyProtection="1">
      <alignment horizontal="left"/>
      <protection/>
    </xf>
    <xf numFmtId="3" fontId="26" fillId="33" borderId="0" xfId="0" applyNumberFormat="1" applyFont="1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3" fontId="12" fillId="33" borderId="0" xfId="0" applyNumberFormat="1" applyFont="1" applyFill="1" applyAlignment="1" applyProtection="1">
      <alignment horizontal="left"/>
      <protection/>
    </xf>
    <xf numFmtId="3" fontId="26" fillId="33" borderId="0" xfId="0" applyNumberFormat="1" applyFont="1" applyFill="1" applyAlignment="1" applyProtection="1">
      <alignment horizontal="left"/>
      <protection/>
    </xf>
    <xf numFmtId="3" fontId="12" fillId="33" borderId="0" xfId="0" applyNumberFormat="1" applyFont="1" applyFill="1" applyAlignment="1" applyProtection="1">
      <alignment/>
      <protection/>
    </xf>
    <xf numFmtId="3" fontId="13" fillId="33" borderId="0" xfId="0" applyNumberFormat="1" applyFont="1" applyFill="1" applyAlignment="1" applyProtection="1">
      <alignment horizontal="left"/>
      <protection/>
    </xf>
    <xf numFmtId="3" fontId="13" fillId="33" borderId="0" xfId="0" applyNumberFormat="1" applyFont="1" applyFill="1" applyAlignment="1" applyProtection="1">
      <alignment/>
      <protection/>
    </xf>
    <xf numFmtId="3" fontId="34" fillId="33" borderId="0" xfId="0" applyNumberFormat="1" applyFont="1" applyFill="1" applyAlignment="1" applyProtection="1">
      <alignment horizontal="right"/>
      <protection/>
    </xf>
    <xf numFmtId="172" fontId="6" fillId="33" borderId="0" xfId="0" applyNumberFormat="1" applyFont="1" applyFill="1" applyAlignment="1" applyProtection="1">
      <alignment horizontal="center"/>
      <protection locked="0"/>
    </xf>
    <xf numFmtId="176" fontId="9" fillId="33" borderId="0" xfId="0" applyFont="1" applyFill="1" applyAlignment="1">
      <alignment horizontal="center"/>
    </xf>
    <xf numFmtId="3" fontId="24" fillId="0" borderId="0" xfId="0" applyNumberFormat="1" applyFont="1" applyAlignment="1">
      <alignment/>
    </xf>
    <xf numFmtId="0" fontId="4" fillId="0" borderId="0" xfId="55" applyAlignment="1" applyProtection="1">
      <alignment horizontal="right"/>
      <protection/>
    </xf>
    <xf numFmtId="0" fontId="4" fillId="0" borderId="0" xfId="55" applyProtection="1">
      <alignment/>
      <protection/>
    </xf>
    <xf numFmtId="0" fontId="19" fillId="0" borderId="0" xfId="55" applyFont="1" applyAlignment="1" applyProtection="1">
      <alignment horizontal="center"/>
      <protection/>
    </xf>
    <xf numFmtId="3" fontId="4" fillId="0" borderId="0" xfId="55" applyNumberFormat="1" applyProtection="1">
      <alignment/>
      <protection/>
    </xf>
    <xf numFmtId="0" fontId="8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>
      <alignment horizontal="right"/>
      <protection/>
    </xf>
    <xf numFmtId="0" fontId="1" fillId="0" borderId="0" xfId="55" applyFont="1" applyProtection="1">
      <alignment/>
      <protection/>
    </xf>
    <xf numFmtId="0" fontId="1" fillId="0" borderId="0" xfId="55" applyFont="1" applyAlignment="1" applyProtection="1">
      <alignment horizontal="center"/>
      <protection/>
    </xf>
    <xf numFmtId="3" fontId="1" fillId="0" borderId="0" xfId="55" applyNumberFormat="1" applyFont="1" applyAlignment="1" applyProtection="1" quotePrefix="1">
      <alignment horizontal="right"/>
      <protection/>
    </xf>
    <xf numFmtId="0" fontId="1" fillId="0" borderId="0" xfId="55" applyNumberFormat="1" applyFont="1" applyAlignment="1" applyProtection="1">
      <alignment horizontal="center"/>
      <protection/>
    </xf>
    <xf numFmtId="3" fontId="4" fillId="0" borderId="0" xfId="55" applyNumberFormat="1" applyAlignment="1" applyProtection="1">
      <alignment horizontal="right"/>
      <protection/>
    </xf>
    <xf numFmtId="0" fontId="4" fillId="0" borderId="0" xfId="55" applyAlignment="1" applyProtection="1">
      <alignment horizontal="center"/>
      <protection/>
    </xf>
    <xf numFmtId="180" fontId="4" fillId="0" borderId="0" xfId="55" applyNumberFormat="1" applyProtection="1">
      <alignment/>
      <protection/>
    </xf>
    <xf numFmtId="0" fontId="4" fillId="0" borderId="0" xfId="55" applyFont="1" applyAlignment="1" applyProtection="1">
      <alignment horizontal="right"/>
      <protection/>
    </xf>
    <xf numFmtId="172" fontId="10" fillId="33" borderId="0" xfId="0" applyNumberFormat="1" applyFont="1" applyFill="1" applyAlignment="1" applyProtection="1">
      <alignment horizontal="left"/>
      <protection/>
    </xf>
    <xf numFmtId="176" fontId="9" fillId="0" borderId="0" xfId="0" applyFont="1" applyAlignment="1" applyProtection="1">
      <alignment/>
      <protection/>
    </xf>
    <xf numFmtId="3" fontId="6" fillId="33" borderId="0" xfId="0" applyNumberFormat="1" applyFont="1" applyFill="1" applyAlignment="1" applyProtection="1">
      <alignment/>
      <protection/>
    </xf>
    <xf numFmtId="172" fontId="10" fillId="33" borderId="0" xfId="0" applyNumberFormat="1" applyFont="1" applyFill="1" applyAlignment="1" applyProtection="1">
      <alignment horizontal="right"/>
      <protection/>
    </xf>
    <xf numFmtId="3" fontId="6" fillId="33" borderId="0" xfId="0" applyNumberFormat="1" applyFont="1" applyFill="1" applyAlignment="1" applyProtection="1">
      <alignment horizontal="center"/>
      <protection/>
    </xf>
    <xf numFmtId="172" fontId="6" fillId="33" borderId="0" xfId="0" applyNumberFormat="1" applyFont="1" applyFill="1" applyAlignment="1" applyProtection="1">
      <alignment horizontal="center"/>
      <protection/>
    </xf>
    <xf numFmtId="172" fontId="25" fillId="33" borderId="0" xfId="0" applyNumberFormat="1" applyFont="1" applyFill="1" applyAlignment="1" applyProtection="1">
      <alignment horizontal="right"/>
      <protection/>
    </xf>
    <xf numFmtId="10" fontId="6" fillId="0" borderId="0" xfId="0" applyNumberFormat="1" applyFont="1" applyAlignment="1" applyProtection="1">
      <alignment/>
      <protection/>
    </xf>
    <xf numFmtId="172" fontId="6" fillId="33" borderId="0" xfId="0" applyNumberFormat="1" applyFont="1" applyFill="1" applyAlignment="1" applyProtection="1">
      <alignment horizontal="left"/>
      <protection/>
    </xf>
    <xf numFmtId="172" fontId="6" fillId="33" borderId="0" xfId="0" applyNumberFormat="1" applyFont="1" applyFill="1" applyAlignment="1" applyProtection="1">
      <alignment/>
      <protection/>
    </xf>
    <xf numFmtId="172" fontId="10" fillId="33" borderId="0" xfId="0" applyNumberFormat="1" applyFont="1" applyFill="1" applyAlignment="1" applyProtection="1">
      <alignment/>
      <protection/>
    </xf>
    <xf numFmtId="172" fontId="10" fillId="33" borderId="0" xfId="0" applyNumberFormat="1" applyFont="1" applyFill="1" applyAlignment="1" applyProtection="1">
      <alignment/>
      <protection/>
    </xf>
    <xf numFmtId="172" fontId="10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/>
      <protection/>
    </xf>
    <xf numFmtId="3" fontId="35" fillId="33" borderId="0" xfId="0" applyNumberFormat="1" applyFont="1" applyFill="1" applyAlignment="1" applyProtection="1">
      <alignment horizontal="left"/>
      <protection/>
    </xf>
    <xf numFmtId="3" fontId="36" fillId="33" borderId="0" xfId="0" applyNumberFormat="1" applyFont="1" applyFill="1" applyAlignment="1" applyProtection="1">
      <alignment/>
      <protection/>
    </xf>
    <xf numFmtId="3" fontId="13" fillId="33" borderId="0" xfId="0" applyNumberFormat="1" applyFont="1" applyFill="1" applyAlignment="1" applyProtection="1">
      <alignment horizontal="left"/>
      <protection locked="0"/>
    </xf>
    <xf numFmtId="3" fontId="3" fillId="33" borderId="0" xfId="0" applyNumberFormat="1" applyFont="1" applyFill="1" applyAlignment="1" applyProtection="1">
      <alignment horizontal="left"/>
      <protection/>
    </xf>
    <xf numFmtId="3" fontId="0" fillId="33" borderId="0" xfId="0" applyNumberFormat="1" applyFont="1" applyFill="1" applyAlignment="1" applyProtection="1">
      <alignment horizontal="right"/>
      <protection/>
    </xf>
    <xf numFmtId="176" fontId="14" fillId="33" borderId="0" xfId="0" applyFont="1" applyFill="1" applyAlignment="1" applyProtection="1">
      <alignment/>
      <protection/>
    </xf>
    <xf numFmtId="49" fontId="14" fillId="33" borderId="0" xfId="0" applyNumberFormat="1" applyFont="1" applyFill="1" applyAlignment="1" applyProtection="1">
      <alignment horizontal="center"/>
      <protection/>
    </xf>
    <xf numFmtId="181" fontId="6" fillId="0" borderId="0" xfId="0" applyNumberFormat="1" applyFont="1" applyAlignment="1" applyProtection="1">
      <alignment/>
      <protection locked="0"/>
    </xf>
    <xf numFmtId="181" fontId="0" fillId="0" borderId="0" xfId="0" applyNumberFormat="1" applyAlignment="1" applyProtection="1">
      <alignment/>
      <protection/>
    </xf>
    <xf numFmtId="180" fontId="4" fillId="0" borderId="10" xfId="55" applyNumberFormat="1" applyBorder="1">
      <alignment/>
      <protection/>
    </xf>
    <xf numFmtId="10" fontId="24" fillId="0" borderId="0" xfId="0" applyNumberFormat="1" applyFont="1" applyAlignment="1" applyProtection="1">
      <alignment/>
      <protection/>
    </xf>
    <xf numFmtId="189" fontId="24" fillId="0" borderId="0" xfId="0" applyNumberFormat="1" applyFont="1" applyAlignment="1" applyProtection="1">
      <alignment/>
      <protection/>
    </xf>
    <xf numFmtId="176" fontId="4" fillId="0" borderId="0" xfId="0" applyFont="1" applyAlignment="1" applyProtection="1">
      <alignment/>
      <protection/>
    </xf>
    <xf numFmtId="176" fontId="18" fillId="0" borderId="0" xfId="0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3" fontId="16" fillId="33" borderId="0" xfId="0" applyNumberFormat="1" applyFont="1" applyFill="1" applyAlignment="1" applyProtection="1">
      <alignment horizontal="left"/>
      <protection/>
    </xf>
    <xf numFmtId="3" fontId="18" fillId="33" borderId="0" xfId="0" applyNumberFormat="1" applyFont="1" applyFill="1" applyAlignment="1" applyProtection="1">
      <alignment/>
      <protection/>
    </xf>
    <xf numFmtId="172" fontId="6" fillId="0" borderId="0" xfId="0" applyNumberFormat="1" applyFont="1" applyAlignment="1" applyProtection="1">
      <alignment horizontal="right"/>
      <protection/>
    </xf>
    <xf numFmtId="3" fontId="6" fillId="33" borderId="0" xfId="0" applyNumberFormat="1" applyFont="1" applyFill="1" applyAlignment="1" applyProtection="1">
      <alignment horizontal="left" vertical="top" wrapText="1"/>
      <protection/>
    </xf>
    <xf numFmtId="3" fontId="1" fillId="0" borderId="0" xfId="0" applyNumberFormat="1" applyFont="1" applyAlignment="1" applyProtection="1">
      <alignment horizontal="left"/>
      <protection/>
    </xf>
    <xf numFmtId="176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 horizontal="left"/>
      <protection/>
    </xf>
    <xf numFmtId="3" fontId="13" fillId="33" borderId="0" xfId="0" applyNumberFormat="1" applyFont="1" applyFill="1" applyAlignment="1" applyProtection="1">
      <alignment horizontal="right"/>
      <protection/>
    </xf>
    <xf numFmtId="3" fontId="36" fillId="33" borderId="0" xfId="0" applyNumberFormat="1" applyFont="1" applyFill="1" applyAlignment="1" applyProtection="1">
      <alignment horizontal="left"/>
      <protection/>
    </xf>
    <xf numFmtId="3" fontId="35" fillId="33" borderId="0" xfId="0" applyNumberFormat="1" applyFont="1" applyFill="1" applyAlignment="1" applyProtection="1">
      <alignment horizontal="right"/>
      <protection/>
    </xf>
    <xf numFmtId="3" fontId="6" fillId="0" borderId="0" xfId="0" applyNumberFormat="1" applyFont="1" applyAlignment="1" applyProtection="1">
      <alignment horizontal="right"/>
      <protection locked="0"/>
    </xf>
    <xf numFmtId="3" fontId="4" fillId="0" borderId="10" xfId="55" applyNumberFormat="1" applyBorder="1" applyProtection="1">
      <alignment/>
      <protection/>
    </xf>
    <xf numFmtId="0" fontId="12" fillId="33" borderId="0" xfId="0" applyNumberFormat="1" applyFont="1" applyFill="1" applyAlignment="1" applyProtection="1">
      <alignment horizontal="center"/>
      <protection/>
    </xf>
    <xf numFmtId="176" fontId="4" fillId="0" borderId="0" xfId="0" applyFont="1" applyFill="1" applyAlignment="1" applyProtection="1">
      <alignment/>
      <protection/>
    </xf>
    <xf numFmtId="10" fontId="10" fillId="33" borderId="0" xfId="0" applyNumberFormat="1" applyFont="1" applyFill="1" applyAlignment="1" applyProtection="1">
      <alignment horizontal="left"/>
      <protection/>
    </xf>
    <xf numFmtId="3" fontId="10" fillId="33" borderId="0" xfId="0" applyNumberFormat="1" applyFont="1" applyFill="1" applyAlignment="1" applyProtection="1">
      <alignment/>
      <protection/>
    </xf>
    <xf numFmtId="180" fontId="24" fillId="0" borderId="0" xfId="0" applyNumberFormat="1" applyFont="1" applyFill="1" applyAlignment="1" applyProtection="1">
      <alignment/>
      <protection/>
    </xf>
    <xf numFmtId="3" fontId="38" fillId="33" borderId="0" xfId="0" applyNumberFormat="1" applyFont="1" applyFill="1" applyAlignment="1" applyProtection="1">
      <alignment horizontal="left"/>
      <protection/>
    </xf>
    <xf numFmtId="3" fontId="36" fillId="0" borderId="0" xfId="0" applyNumberFormat="1" applyFont="1" applyAlignment="1" applyProtection="1">
      <alignment/>
      <protection locked="0"/>
    </xf>
    <xf numFmtId="172" fontId="39" fillId="0" borderId="0" xfId="0" applyNumberFormat="1" applyFont="1" applyAlignment="1" applyProtection="1">
      <alignment/>
      <protection/>
    </xf>
    <xf numFmtId="172" fontId="36" fillId="0" borderId="0" xfId="0" applyNumberFormat="1" applyFont="1" applyAlignment="1" applyProtection="1">
      <alignment horizontal="left"/>
      <protection locked="0"/>
    </xf>
    <xf numFmtId="176" fontId="40" fillId="0" borderId="0" xfId="0" applyFont="1" applyAlignment="1">
      <alignment/>
    </xf>
    <xf numFmtId="14" fontId="4" fillId="0" borderId="0" xfId="0" applyNumberFormat="1" applyFont="1" applyAlignment="1" applyProtection="1">
      <alignment horizontal="left"/>
      <protection/>
    </xf>
    <xf numFmtId="3" fontId="4" fillId="0" borderId="0" xfId="55" applyNumberFormat="1" applyAlignment="1">
      <alignment horizontal="right"/>
      <protection/>
    </xf>
    <xf numFmtId="3" fontId="1" fillId="0" borderId="0" xfId="55" applyNumberFormat="1" applyFont="1" applyAlignment="1">
      <alignment horizontal="right"/>
      <protection/>
    </xf>
    <xf numFmtId="0" fontId="1" fillId="0" borderId="0" xfId="55" applyFont="1" applyAlignment="1">
      <alignment horizontal="right"/>
      <protection/>
    </xf>
    <xf numFmtId="3" fontId="1" fillId="0" borderId="0" xfId="55" applyNumberFormat="1" applyFont="1" applyAlignment="1" applyProtection="1">
      <alignment horizontal="right"/>
      <protection/>
    </xf>
    <xf numFmtId="180" fontId="1" fillId="0" borderId="0" xfId="55" applyNumberFormat="1" applyFont="1" applyAlignment="1">
      <alignment horizontal="right"/>
      <protection/>
    </xf>
    <xf numFmtId="180" fontId="4" fillId="0" borderId="0" xfId="55" applyNumberFormat="1" applyAlignment="1">
      <alignment horizontal="center"/>
      <protection/>
    </xf>
    <xf numFmtId="172" fontId="28" fillId="33" borderId="0" xfId="0" applyNumberFormat="1" applyFont="1" applyFill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LS81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0"/>
  <sheetViews>
    <sheetView zoomScale="90" zoomScaleNormal="90" zoomScalePageLayoutView="0" workbookViewId="0" topLeftCell="A9">
      <pane xSplit="1" ySplit="5" topLeftCell="B14" activePane="bottomRight" state="frozen"/>
      <selection pane="topLeft" activeCell="A9" sqref="A9"/>
      <selection pane="topRight" activeCell="B9" sqref="B9"/>
      <selection pane="bottomLeft" activeCell="A14" sqref="A14"/>
      <selection pane="bottomRight" activeCell="N49" sqref="N49"/>
    </sheetView>
  </sheetViews>
  <sheetFormatPr defaultColWidth="9.00390625" defaultRowHeight="12.75"/>
  <cols>
    <col min="1" max="1" width="27.875" style="40" customWidth="1"/>
    <col min="2" max="69" width="9.625" style="0" customWidth="1"/>
    <col min="70" max="70" width="8.50390625" style="0" customWidth="1"/>
    <col min="71" max="76" width="10.375" style="123" customWidth="1"/>
    <col min="77" max="77" width="2.625" style="123" customWidth="1"/>
    <col min="78" max="78" width="10.375" style="123" customWidth="1"/>
  </cols>
  <sheetData>
    <row r="1" spans="1:78" ht="13.5">
      <c r="A1" s="4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2"/>
      <c r="BQ1" s="2"/>
      <c r="BR1" s="2"/>
      <c r="BS1" s="117"/>
      <c r="BT1" s="117"/>
      <c r="BU1" s="117"/>
      <c r="BV1" s="117"/>
      <c r="BW1" s="117"/>
      <c r="BX1" s="117"/>
      <c r="BY1" s="117"/>
      <c r="BZ1" s="117"/>
    </row>
    <row r="2" spans="1:78" ht="13.5">
      <c r="A2" s="18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2"/>
      <c r="BQ2" s="2"/>
      <c r="BR2" s="2"/>
      <c r="BS2" s="117"/>
      <c r="BT2" s="117"/>
      <c r="BU2" s="117"/>
      <c r="BV2" s="117"/>
      <c r="BW2" s="117"/>
      <c r="BX2" s="117"/>
      <c r="BY2" s="117"/>
      <c r="BZ2" s="117"/>
    </row>
    <row r="3" spans="1:78" ht="13.5">
      <c r="A3" s="18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2"/>
      <c r="BQ3" s="2"/>
      <c r="BR3" s="2"/>
      <c r="BS3" s="117"/>
      <c r="BT3" s="117"/>
      <c r="BU3" s="117"/>
      <c r="BV3" s="117"/>
      <c r="BW3" s="117"/>
      <c r="BX3" s="117"/>
      <c r="BY3" s="117"/>
      <c r="BZ3" s="117"/>
    </row>
    <row r="4" spans="1:78" ht="13.5">
      <c r="A4" s="18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2"/>
      <c r="BS4" s="117"/>
      <c r="BT4" s="117"/>
      <c r="BU4" s="117"/>
      <c r="BV4" s="117"/>
      <c r="BW4" s="117"/>
      <c r="BX4" s="117"/>
      <c r="BY4" s="117"/>
      <c r="BZ4" s="117"/>
    </row>
    <row r="5" spans="1:78" ht="13.5">
      <c r="A5" s="18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2"/>
      <c r="BS5" s="117"/>
      <c r="BT5" s="117"/>
      <c r="BU5" s="117"/>
      <c r="BV5" s="117"/>
      <c r="BW5" s="117"/>
      <c r="BX5" s="117"/>
      <c r="BY5" s="117"/>
      <c r="BZ5" s="117"/>
    </row>
    <row r="6" spans="1:78" ht="12.75">
      <c r="A6" s="18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2"/>
      <c r="BQ6" s="2"/>
      <c r="BR6" s="2"/>
      <c r="BS6" s="119"/>
      <c r="BT6" s="119"/>
      <c r="BU6" s="119"/>
      <c r="BV6" s="119"/>
      <c r="BW6" s="119"/>
      <c r="BX6" s="119"/>
      <c r="BY6" s="119"/>
      <c r="BZ6" s="119"/>
    </row>
    <row r="7" spans="1:78" ht="12.75">
      <c r="A7" s="18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2"/>
      <c r="BQ7" s="2"/>
      <c r="BR7" s="2"/>
      <c r="BS7" s="119"/>
      <c r="BT7" s="119"/>
      <c r="BU7" s="119"/>
      <c r="BV7" s="119"/>
      <c r="BW7" s="119"/>
      <c r="BX7" s="119"/>
      <c r="BY7" s="119"/>
      <c r="BZ7" s="119"/>
    </row>
    <row r="8" spans="1:78" ht="12.75">
      <c r="A8" s="13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2"/>
      <c r="BQ8" s="2"/>
      <c r="BR8" s="2"/>
      <c r="BS8" s="118"/>
      <c r="BT8" s="118"/>
      <c r="BU8" s="118"/>
      <c r="BV8" s="118"/>
      <c r="BW8" s="118"/>
      <c r="BX8" s="118"/>
      <c r="BY8" s="118"/>
      <c r="BZ8" s="118"/>
    </row>
    <row r="9" spans="1:78" s="33" customFormat="1" ht="11.25" customHeight="1">
      <c r="A9" s="13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31"/>
      <c r="BQ9" s="31"/>
      <c r="BR9" s="31"/>
      <c r="BS9" s="136"/>
      <c r="BT9" s="136"/>
      <c r="BU9" s="136"/>
      <c r="BV9" s="136"/>
      <c r="BW9" s="136"/>
      <c r="BX9" s="136"/>
      <c r="BY9" s="136"/>
      <c r="BZ9" s="136"/>
    </row>
    <row r="10" spans="1:78" s="187" customFormat="1" ht="12.75">
      <c r="A10" s="137"/>
      <c r="B10" s="131" t="s">
        <v>0</v>
      </c>
      <c r="C10" s="131" t="s">
        <v>0</v>
      </c>
      <c r="D10" s="131" t="s">
        <v>0</v>
      </c>
      <c r="E10" s="131" t="s">
        <v>0</v>
      </c>
      <c r="F10" s="131" t="s">
        <v>1</v>
      </c>
      <c r="G10" s="131" t="s">
        <v>0</v>
      </c>
      <c r="H10" s="131" t="s">
        <v>2</v>
      </c>
      <c r="I10" s="131" t="s">
        <v>0</v>
      </c>
      <c r="J10" s="131" t="s">
        <v>3</v>
      </c>
      <c r="K10" s="131" t="s">
        <v>0</v>
      </c>
      <c r="L10" s="131" t="s">
        <v>0</v>
      </c>
      <c r="M10" s="131" t="s">
        <v>0</v>
      </c>
      <c r="N10" s="131" t="s">
        <v>0</v>
      </c>
      <c r="O10" s="131" t="s">
        <v>0</v>
      </c>
      <c r="P10" s="131" t="s">
        <v>0</v>
      </c>
      <c r="Q10" s="131" t="s">
        <v>0</v>
      </c>
      <c r="R10" s="132" t="s">
        <v>0</v>
      </c>
      <c r="S10" s="131" t="s">
        <v>0</v>
      </c>
      <c r="T10" s="131" t="s">
        <v>5</v>
      </c>
      <c r="U10" s="131" t="s">
        <v>0</v>
      </c>
      <c r="V10" s="131" t="s">
        <v>516</v>
      </c>
      <c r="W10" s="131" t="s">
        <v>0</v>
      </c>
      <c r="X10" s="131" t="s">
        <v>7</v>
      </c>
      <c r="Y10" s="131" t="s">
        <v>0</v>
      </c>
      <c r="Z10" s="131" t="s">
        <v>0</v>
      </c>
      <c r="AA10" s="131" t="s">
        <v>0</v>
      </c>
      <c r="AB10" s="131" t="s">
        <v>0</v>
      </c>
      <c r="AC10" s="131" t="s">
        <v>0</v>
      </c>
      <c r="AD10" s="131" t="s">
        <v>0</v>
      </c>
      <c r="AE10" s="131" t="s">
        <v>0</v>
      </c>
      <c r="AF10" s="131" t="s">
        <v>8</v>
      </c>
      <c r="AG10" s="131" t="s">
        <v>4</v>
      </c>
      <c r="AH10" s="131" t="s">
        <v>6</v>
      </c>
      <c r="AI10" s="131" t="s">
        <v>6</v>
      </c>
      <c r="AJ10" s="131" t="s">
        <v>0</v>
      </c>
      <c r="AK10" s="131" t="s">
        <v>0</v>
      </c>
      <c r="AL10" s="131" t="s">
        <v>0</v>
      </c>
      <c r="AM10" s="131" t="s">
        <v>4</v>
      </c>
      <c r="AN10" s="131" t="s">
        <v>0</v>
      </c>
      <c r="AO10" s="131" t="s">
        <v>0</v>
      </c>
      <c r="AP10" s="131" t="s">
        <v>0</v>
      </c>
      <c r="AQ10" s="131" t="s">
        <v>4</v>
      </c>
      <c r="AR10" s="131" t="s">
        <v>0</v>
      </c>
      <c r="AS10" s="131" t="s">
        <v>0</v>
      </c>
      <c r="AT10" s="131" t="s">
        <v>0</v>
      </c>
      <c r="AU10" s="131" t="s">
        <v>0</v>
      </c>
      <c r="AV10" s="131" t="s">
        <v>0</v>
      </c>
      <c r="AW10" s="131" t="s">
        <v>4</v>
      </c>
      <c r="AX10" s="131" t="s">
        <v>4</v>
      </c>
      <c r="AY10" s="131" t="s">
        <v>61</v>
      </c>
      <c r="AZ10" s="131" t="s">
        <v>0</v>
      </c>
      <c r="BA10" s="131" t="s">
        <v>0</v>
      </c>
      <c r="BB10" s="131" t="s">
        <v>6</v>
      </c>
      <c r="BC10" s="131" t="s">
        <v>4</v>
      </c>
      <c r="BD10" s="131" t="s">
        <v>0</v>
      </c>
      <c r="BE10" s="131" t="s">
        <v>4</v>
      </c>
      <c r="BF10" s="131" t="s">
        <v>0</v>
      </c>
      <c r="BG10" s="131" t="s">
        <v>0</v>
      </c>
      <c r="BH10" s="131" t="s">
        <v>0</v>
      </c>
      <c r="BI10" s="131" t="s">
        <v>9</v>
      </c>
      <c r="BJ10" s="131" t="s">
        <v>0</v>
      </c>
      <c r="BK10" s="131" t="s">
        <v>0</v>
      </c>
      <c r="BL10" s="131" t="s">
        <v>0</v>
      </c>
      <c r="BM10" s="131" t="s">
        <v>0</v>
      </c>
      <c r="BN10" s="131" t="s">
        <v>0</v>
      </c>
      <c r="BO10" s="131" t="s">
        <v>0</v>
      </c>
      <c r="BP10" s="132"/>
      <c r="BQ10" s="132"/>
      <c r="BR10" s="132"/>
      <c r="BS10" s="138" t="s">
        <v>10</v>
      </c>
      <c r="BT10" s="138" t="s">
        <v>545</v>
      </c>
      <c r="BU10" s="226" t="s">
        <v>542</v>
      </c>
      <c r="BV10" s="226"/>
      <c r="BW10" s="138"/>
      <c r="BX10" s="138"/>
      <c r="BY10" s="138"/>
      <c r="BZ10" s="138" t="s">
        <v>11</v>
      </c>
    </row>
    <row r="11" spans="1:78" s="187" customFormat="1" ht="12.75">
      <c r="A11" s="139" t="s">
        <v>12</v>
      </c>
      <c r="B11" s="131" t="s">
        <v>13</v>
      </c>
      <c r="C11" s="131" t="s">
        <v>17</v>
      </c>
      <c r="D11" s="131" t="s">
        <v>507</v>
      </c>
      <c r="E11" s="131" t="s">
        <v>14</v>
      </c>
      <c r="F11" s="131" t="s">
        <v>16</v>
      </c>
      <c r="G11" s="131" t="s">
        <v>18</v>
      </c>
      <c r="H11" s="131" t="s">
        <v>16</v>
      </c>
      <c r="I11" s="131" t="s">
        <v>551</v>
      </c>
      <c r="J11" s="131" t="s">
        <v>16</v>
      </c>
      <c r="K11" s="131" t="s">
        <v>427</v>
      </c>
      <c r="L11" s="131" t="s">
        <v>20</v>
      </c>
      <c r="M11" s="131" t="s">
        <v>19</v>
      </c>
      <c r="N11" s="131" t="s">
        <v>21</v>
      </c>
      <c r="O11" s="131" t="s">
        <v>23</v>
      </c>
      <c r="P11" s="131" t="s">
        <v>22</v>
      </c>
      <c r="Q11" s="131" t="s">
        <v>24</v>
      </c>
      <c r="R11" s="132" t="s">
        <v>565</v>
      </c>
      <c r="S11" s="131" t="s">
        <v>25</v>
      </c>
      <c r="T11" s="131" t="s">
        <v>16</v>
      </c>
      <c r="U11" s="131" t="s">
        <v>15</v>
      </c>
      <c r="V11" s="131" t="s">
        <v>53</v>
      </c>
      <c r="W11" s="131" t="s">
        <v>26</v>
      </c>
      <c r="X11" s="131" t="s">
        <v>31</v>
      </c>
      <c r="Y11" s="131" t="s">
        <v>553</v>
      </c>
      <c r="Z11" s="131" t="s">
        <v>83</v>
      </c>
      <c r="AA11" s="131" t="s">
        <v>507</v>
      </c>
      <c r="AB11" s="131" t="s">
        <v>15</v>
      </c>
      <c r="AC11" s="131" t="s">
        <v>27</v>
      </c>
      <c r="AD11" s="131" t="s">
        <v>28</v>
      </c>
      <c r="AE11" s="131" t="s">
        <v>29</v>
      </c>
      <c r="AF11" s="131" t="s">
        <v>16</v>
      </c>
      <c r="AG11" s="131" t="s">
        <v>15</v>
      </c>
      <c r="AH11" s="131" t="s">
        <v>30</v>
      </c>
      <c r="AI11" s="131" t="s">
        <v>30</v>
      </c>
      <c r="AJ11" s="131" t="s">
        <v>32</v>
      </c>
      <c r="AK11" s="131" t="s">
        <v>33</v>
      </c>
      <c r="AL11" s="131" t="s">
        <v>34</v>
      </c>
      <c r="AM11" s="131" t="s">
        <v>35</v>
      </c>
      <c r="AN11" s="131" t="s">
        <v>36</v>
      </c>
      <c r="AO11" s="131" t="s">
        <v>38</v>
      </c>
      <c r="AP11" s="131" t="s">
        <v>37</v>
      </c>
      <c r="AQ11" s="131" t="s">
        <v>39</v>
      </c>
      <c r="AR11" s="131" t="s">
        <v>42</v>
      </c>
      <c r="AS11" s="131" t="s">
        <v>40</v>
      </c>
      <c r="AT11" s="131" t="s">
        <v>41</v>
      </c>
      <c r="AU11" s="131" t="s">
        <v>43</v>
      </c>
      <c r="AV11" s="131" t="s">
        <v>45</v>
      </c>
      <c r="AW11" s="131" t="s">
        <v>44</v>
      </c>
      <c r="AX11" s="131" t="s">
        <v>46</v>
      </c>
      <c r="AY11" s="131" t="s">
        <v>16</v>
      </c>
      <c r="AZ11" s="131" t="s">
        <v>15</v>
      </c>
      <c r="BA11" s="131" t="s">
        <v>47</v>
      </c>
      <c r="BB11" s="131" t="s">
        <v>30</v>
      </c>
      <c r="BC11" s="131" t="s">
        <v>496</v>
      </c>
      <c r="BD11" s="131" t="s">
        <v>48</v>
      </c>
      <c r="BE11" s="131" t="s">
        <v>50</v>
      </c>
      <c r="BF11" s="131" t="s">
        <v>49</v>
      </c>
      <c r="BG11" s="131" t="s">
        <v>51</v>
      </c>
      <c r="BH11" s="131" t="s">
        <v>52</v>
      </c>
      <c r="BI11" s="131" t="s">
        <v>53</v>
      </c>
      <c r="BJ11" s="131" t="s">
        <v>54</v>
      </c>
      <c r="BK11" s="131" t="s">
        <v>15</v>
      </c>
      <c r="BL11" s="131" t="s">
        <v>55</v>
      </c>
      <c r="BM11" s="131" t="s">
        <v>56</v>
      </c>
      <c r="BN11" s="131" t="s">
        <v>57</v>
      </c>
      <c r="BO11" s="131" t="s">
        <v>58</v>
      </c>
      <c r="BP11" s="132"/>
      <c r="BQ11" s="132"/>
      <c r="BR11" s="132"/>
      <c r="BS11" s="138" t="s">
        <v>59</v>
      </c>
      <c r="BT11" s="138" t="s">
        <v>546</v>
      </c>
      <c r="BU11" s="226"/>
      <c r="BV11" s="226"/>
      <c r="BW11" s="138"/>
      <c r="BX11" s="138" t="s">
        <v>61</v>
      </c>
      <c r="BY11" s="138"/>
      <c r="BZ11" s="138" t="s">
        <v>59</v>
      </c>
    </row>
    <row r="12" spans="1:78" s="187" customFormat="1" ht="12.75">
      <c r="A12" s="137"/>
      <c r="B12" s="131" t="s">
        <v>62</v>
      </c>
      <c r="C12" s="131"/>
      <c r="D12" s="131" t="s">
        <v>508</v>
      </c>
      <c r="E12" s="131"/>
      <c r="F12" s="131" t="s">
        <v>30</v>
      </c>
      <c r="G12" s="131" t="s">
        <v>64</v>
      </c>
      <c r="H12" s="131" t="s">
        <v>63</v>
      </c>
      <c r="I12" s="131" t="s">
        <v>77</v>
      </c>
      <c r="J12" s="131" t="s">
        <v>30</v>
      </c>
      <c r="K12" s="131"/>
      <c r="L12" s="131" t="s">
        <v>64</v>
      </c>
      <c r="M12" s="131"/>
      <c r="N12" s="131" t="s">
        <v>65</v>
      </c>
      <c r="O12" s="131"/>
      <c r="P12" s="131" t="s">
        <v>66</v>
      </c>
      <c r="Q12" s="131" t="s">
        <v>501</v>
      </c>
      <c r="R12" s="132" t="s">
        <v>564</v>
      </c>
      <c r="S12" s="131" t="s">
        <v>64</v>
      </c>
      <c r="T12" s="131" t="s">
        <v>30</v>
      </c>
      <c r="U12" s="131" t="s">
        <v>566</v>
      </c>
      <c r="V12" s="131" t="s">
        <v>517</v>
      </c>
      <c r="W12" s="131" t="s">
        <v>346</v>
      </c>
      <c r="X12" s="131" t="s">
        <v>73</v>
      </c>
      <c r="Y12" s="131" t="s">
        <v>554</v>
      </c>
      <c r="Z12" s="131"/>
      <c r="AA12" s="131" t="s">
        <v>509</v>
      </c>
      <c r="AB12" s="131" t="s">
        <v>69</v>
      </c>
      <c r="AC12" s="131" t="s">
        <v>68</v>
      </c>
      <c r="AD12" s="131"/>
      <c r="AE12" s="131" t="s">
        <v>70</v>
      </c>
      <c r="AF12" s="131" t="s">
        <v>85</v>
      </c>
      <c r="AG12" s="131" t="s">
        <v>71</v>
      </c>
      <c r="AH12" s="131" t="s">
        <v>72</v>
      </c>
      <c r="AI12" s="131" t="s">
        <v>90</v>
      </c>
      <c r="AJ12" s="131" t="s">
        <v>74</v>
      </c>
      <c r="AK12" s="131" t="s">
        <v>75</v>
      </c>
      <c r="AL12" s="131"/>
      <c r="AM12" s="131" t="s">
        <v>76</v>
      </c>
      <c r="AN12" s="131" t="s">
        <v>77</v>
      </c>
      <c r="AO12" s="131" t="s">
        <v>79</v>
      </c>
      <c r="AP12" s="131" t="s">
        <v>78</v>
      </c>
      <c r="AQ12" s="131" t="s">
        <v>561</v>
      </c>
      <c r="AR12" s="131" t="s">
        <v>67</v>
      </c>
      <c r="AS12" s="131" t="s">
        <v>81</v>
      </c>
      <c r="AT12" s="131" t="s">
        <v>76</v>
      </c>
      <c r="AU12" s="131" t="s">
        <v>82</v>
      </c>
      <c r="AV12" s="131" t="s">
        <v>80</v>
      </c>
      <c r="AW12" s="131" t="s">
        <v>83</v>
      </c>
      <c r="AX12" s="131" t="s">
        <v>84</v>
      </c>
      <c r="AY12" s="131" t="s">
        <v>30</v>
      </c>
      <c r="AZ12" s="131" t="s">
        <v>86</v>
      </c>
      <c r="BA12" s="131" t="s">
        <v>88</v>
      </c>
      <c r="BB12" s="131" t="s">
        <v>87</v>
      </c>
      <c r="BC12" s="131" t="s">
        <v>89</v>
      </c>
      <c r="BD12" s="131" t="s">
        <v>91</v>
      </c>
      <c r="BE12" s="131" t="s">
        <v>93</v>
      </c>
      <c r="BF12" s="131" t="s">
        <v>92</v>
      </c>
      <c r="BG12" s="131" t="s">
        <v>94</v>
      </c>
      <c r="BH12" s="131" t="s">
        <v>95</v>
      </c>
      <c r="BI12" s="131" t="s">
        <v>96</v>
      </c>
      <c r="BJ12" s="131" t="s">
        <v>97</v>
      </c>
      <c r="BK12" s="131" t="s">
        <v>555</v>
      </c>
      <c r="BL12" s="131" t="s">
        <v>98</v>
      </c>
      <c r="BM12" s="131" t="s">
        <v>99</v>
      </c>
      <c r="BN12" s="131" t="s">
        <v>62</v>
      </c>
      <c r="BO12" s="131"/>
      <c r="BP12" s="132"/>
      <c r="BQ12" s="132"/>
      <c r="BR12" s="132"/>
      <c r="BS12" s="138" t="s">
        <v>100</v>
      </c>
      <c r="BT12" s="138" t="s">
        <v>541</v>
      </c>
      <c r="BU12" s="138" t="s">
        <v>543</v>
      </c>
      <c r="BV12" s="138" t="s">
        <v>544</v>
      </c>
      <c r="BW12" s="138" t="s">
        <v>101</v>
      </c>
      <c r="BX12" s="138" t="s">
        <v>60</v>
      </c>
      <c r="BY12" s="138"/>
      <c r="BZ12" s="138" t="s">
        <v>100</v>
      </c>
    </row>
    <row r="13" spans="1:79" s="188" customFormat="1" ht="12.75">
      <c r="A13" s="140"/>
      <c r="B13" s="133" t="s">
        <v>102</v>
      </c>
      <c r="C13" s="133" t="s">
        <v>103</v>
      </c>
      <c r="D13" s="133" t="s">
        <v>104</v>
      </c>
      <c r="E13" s="133" t="s">
        <v>105</v>
      </c>
      <c r="F13" s="133" t="s">
        <v>106</v>
      </c>
      <c r="G13" s="133" t="s">
        <v>107</v>
      </c>
      <c r="H13" s="133" t="s">
        <v>108</v>
      </c>
      <c r="I13" s="133" t="s">
        <v>109</v>
      </c>
      <c r="J13" s="133" t="s">
        <v>335</v>
      </c>
      <c r="K13" s="133" t="s">
        <v>336</v>
      </c>
      <c r="L13" s="133" t="s">
        <v>337</v>
      </c>
      <c r="M13" s="133" t="s">
        <v>110</v>
      </c>
      <c r="N13" s="133" t="s">
        <v>111</v>
      </c>
      <c r="O13" s="133" t="s">
        <v>112</v>
      </c>
      <c r="P13" s="133" t="s">
        <v>113</v>
      </c>
      <c r="Q13" s="133" t="s">
        <v>114</v>
      </c>
      <c r="R13" s="133" t="s">
        <v>115</v>
      </c>
      <c r="S13" s="133" t="s">
        <v>116</v>
      </c>
      <c r="T13" s="133" t="s">
        <v>117</v>
      </c>
      <c r="U13" s="133" t="s">
        <v>118</v>
      </c>
      <c r="V13" s="133" t="s">
        <v>119</v>
      </c>
      <c r="W13" s="133" t="s">
        <v>120</v>
      </c>
      <c r="X13" s="133" t="s">
        <v>121</v>
      </c>
      <c r="Y13" s="133" t="s">
        <v>122</v>
      </c>
      <c r="Z13" s="133" t="s">
        <v>123</v>
      </c>
      <c r="AA13" s="133" t="s">
        <v>124</v>
      </c>
      <c r="AB13" s="133" t="s">
        <v>125</v>
      </c>
      <c r="AC13" s="133" t="s">
        <v>126</v>
      </c>
      <c r="AD13" s="133" t="s">
        <v>127</v>
      </c>
      <c r="AE13" s="133" t="s">
        <v>128</v>
      </c>
      <c r="AF13" s="133" t="s">
        <v>129</v>
      </c>
      <c r="AG13" s="133" t="s">
        <v>130</v>
      </c>
      <c r="AH13" s="133" t="s">
        <v>131</v>
      </c>
      <c r="AI13" s="133" t="s">
        <v>132</v>
      </c>
      <c r="AJ13" s="133" t="s">
        <v>133</v>
      </c>
      <c r="AK13" s="133" t="s">
        <v>134</v>
      </c>
      <c r="AL13" s="133" t="s">
        <v>135</v>
      </c>
      <c r="AM13" s="133" t="s">
        <v>136</v>
      </c>
      <c r="AN13" s="133" t="s">
        <v>137</v>
      </c>
      <c r="AO13" s="133" t="s">
        <v>138</v>
      </c>
      <c r="AP13" s="133" t="s">
        <v>139</v>
      </c>
      <c r="AQ13" s="133" t="s">
        <v>140</v>
      </c>
      <c r="AR13" s="133" t="s">
        <v>141</v>
      </c>
      <c r="AS13" s="133" t="s">
        <v>142</v>
      </c>
      <c r="AT13" s="133" t="s">
        <v>143</v>
      </c>
      <c r="AU13" s="133" t="s">
        <v>144</v>
      </c>
      <c r="AV13" s="133" t="s">
        <v>145</v>
      </c>
      <c r="AW13" s="133" t="s">
        <v>146</v>
      </c>
      <c r="AX13" s="133" t="s">
        <v>147</v>
      </c>
      <c r="AY13" s="133" t="s">
        <v>148</v>
      </c>
      <c r="AZ13" s="133" t="s">
        <v>149</v>
      </c>
      <c r="BA13" s="133" t="s">
        <v>150</v>
      </c>
      <c r="BB13" s="133" t="s">
        <v>348</v>
      </c>
      <c r="BC13" s="133" t="s">
        <v>151</v>
      </c>
      <c r="BD13" s="133" t="s">
        <v>152</v>
      </c>
      <c r="BE13" s="133" t="s">
        <v>153</v>
      </c>
      <c r="BF13" s="133" t="s">
        <v>154</v>
      </c>
      <c r="BG13" s="133" t="s">
        <v>155</v>
      </c>
      <c r="BH13" s="133" t="s">
        <v>349</v>
      </c>
      <c r="BI13" s="133" t="s">
        <v>156</v>
      </c>
      <c r="BJ13" s="133" t="s">
        <v>157</v>
      </c>
      <c r="BK13" s="133" t="s">
        <v>158</v>
      </c>
      <c r="BL13" s="133" t="s">
        <v>159</v>
      </c>
      <c r="BM13" s="133" t="s">
        <v>160</v>
      </c>
      <c r="BN13" s="133" t="s">
        <v>161</v>
      </c>
      <c r="BO13" s="133" t="s">
        <v>162</v>
      </c>
      <c r="BP13" s="209"/>
      <c r="BQ13" s="209"/>
      <c r="BR13" s="209"/>
      <c r="BS13" s="209"/>
      <c r="BT13" s="209" t="s">
        <v>589</v>
      </c>
      <c r="BU13" s="209" t="s">
        <v>494</v>
      </c>
      <c r="BV13" s="209" t="s">
        <v>590</v>
      </c>
      <c r="BW13" s="209" t="s">
        <v>586</v>
      </c>
      <c r="BX13" s="209" t="s">
        <v>585</v>
      </c>
      <c r="BY13" s="209"/>
      <c r="BZ13" s="209" t="s">
        <v>513</v>
      </c>
      <c r="CA13" s="209"/>
    </row>
    <row r="14" spans="1:78" ht="12.75">
      <c r="A14" s="14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2"/>
      <c r="BQ14" s="2"/>
      <c r="BR14" s="2"/>
      <c r="BS14" s="141"/>
      <c r="BT14" s="141"/>
      <c r="BU14" s="141"/>
      <c r="BV14" s="141"/>
      <c r="BW14" s="141"/>
      <c r="BX14" s="141"/>
      <c r="BY14" s="141"/>
      <c r="BZ14" s="141"/>
    </row>
    <row r="15" spans="1:78" ht="12.75">
      <c r="A15" s="142" t="s">
        <v>393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  <c r="BS15" s="141"/>
      <c r="BT15" s="141"/>
      <c r="BU15" s="141"/>
      <c r="BV15" s="141"/>
      <c r="BW15" s="141"/>
      <c r="BX15" s="141"/>
      <c r="BY15" s="141"/>
      <c r="BZ15" s="141"/>
    </row>
    <row r="16" spans="1:78" ht="12.75">
      <c r="A16" s="14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  <c r="BS16" s="141"/>
      <c r="BT16" s="141"/>
      <c r="BU16" s="141"/>
      <c r="BV16" s="141"/>
      <c r="BW16" s="141"/>
      <c r="BX16" s="141"/>
      <c r="BY16" s="141"/>
      <c r="BZ16" s="141"/>
    </row>
    <row r="17" spans="1:78" s="71" customFormat="1" ht="12.75">
      <c r="A17" s="184" t="s">
        <v>464</v>
      </c>
      <c r="B17" s="124">
        <v>0</v>
      </c>
      <c r="C17" s="124">
        <v>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  <c r="AK17" s="124">
        <v>0</v>
      </c>
      <c r="AL17" s="124">
        <v>0</v>
      </c>
      <c r="AM17" s="124">
        <v>0</v>
      </c>
      <c r="AN17" s="124">
        <v>0</v>
      </c>
      <c r="AO17" s="124">
        <v>0</v>
      </c>
      <c r="AP17" s="124">
        <v>0</v>
      </c>
      <c r="AQ17" s="124">
        <v>0</v>
      </c>
      <c r="AR17" s="124">
        <v>0</v>
      </c>
      <c r="AS17" s="124">
        <v>0</v>
      </c>
      <c r="AT17" s="124">
        <v>0</v>
      </c>
      <c r="AU17" s="124">
        <v>0</v>
      </c>
      <c r="AV17" s="124">
        <v>0</v>
      </c>
      <c r="AW17" s="124">
        <v>0</v>
      </c>
      <c r="AX17" s="124">
        <v>0</v>
      </c>
      <c r="AY17" s="124">
        <v>0</v>
      </c>
      <c r="AZ17" s="124">
        <v>0</v>
      </c>
      <c r="BA17" s="124">
        <v>0</v>
      </c>
      <c r="BB17" s="124">
        <v>0</v>
      </c>
      <c r="BC17" s="124">
        <v>0</v>
      </c>
      <c r="BD17" s="124">
        <v>0</v>
      </c>
      <c r="BE17" s="124">
        <v>0</v>
      </c>
      <c r="BF17" s="124">
        <v>0</v>
      </c>
      <c r="BG17" s="124">
        <v>0</v>
      </c>
      <c r="BH17" s="124">
        <v>0</v>
      </c>
      <c r="BI17" s="124">
        <v>0</v>
      </c>
      <c r="BJ17" s="124">
        <v>0</v>
      </c>
      <c r="BK17" s="124">
        <v>0</v>
      </c>
      <c r="BL17" s="124">
        <v>0</v>
      </c>
      <c r="BM17" s="124">
        <v>0</v>
      </c>
      <c r="BN17" s="124">
        <v>0</v>
      </c>
      <c r="BO17" s="124">
        <v>0</v>
      </c>
      <c r="BP17" s="124"/>
      <c r="BQ17" s="124"/>
      <c r="BR17" s="124"/>
      <c r="BS17" s="136">
        <f>SUM(B17:BO17)</f>
        <v>0</v>
      </c>
      <c r="BT17" s="136">
        <f>SUM(D17+W17+AA17+AB17+AE17+AG17+AO17+AQ17+AS17+AV17+BC17+BD17+BE17+BG17+BJ17+BK17+BL17+BN17+BO17)</f>
        <v>0</v>
      </c>
      <c r="BU17" s="136">
        <f>SUM(C17+F17+G17+K17+L17+N17+P17+Q17+S17+Z17+AK17+AL17+AU17)</f>
        <v>0</v>
      </c>
      <c r="BV17" s="136">
        <f>SUM(B17+E17+H17+I17+J17+M17+O17+R17+U17+V17+Y17+AC17+AD17+AH17+AJ17+AM17+AN17+AP17+AW17+AX17+AZ17+BB17+BF17+BM17)</f>
        <v>0</v>
      </c>
      <c r="BW17" s="136">
        <f>BT17+BU17+BV17</f>
        <v>0</v>
      </c>
      <c r="BX17" s="136">
        <f>SUM(T17+X17+AF17+AI17+AR17+AT17+AY17+BA17+BH17+BI17)</f>
        <v>0</v>
      </c>
      <c r="BY17" s="72"/>
      <c r="BZ17" s="136">
        <f>BW17+BX17</f>
        <v>0</v>
      </c>
    </row>
    <row r="18" spans="1:78" ht="12.75">
      <c r="A18" s="14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2"/>
      <c r="BQ18" s="2"/>
      <c r="BR18" s="2"/>
      <c r="BS18" s="136"/>
      <c r="BT18" s="136"/>
      <c r="BU18" s="136"/>
      <c r="BV18" s="136"/>
      <c r="BW18" s="136"/>
      <c r="BX18" s="136"/>
      <c r="BY18" s="141"/>
      <c r="BZ18" s="136"/>
    </row>
    <row r="19" spans="1:78" ht="12.75">
      <c r="A19" s="142" t="s">
        <v>465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2"/>
      <c r="BQ19" s="2"/>
      <c r="BR19" s="2"/>
      <c r="BS19" s="136"/>
      <c r="BT19" s="136"/>
      <c r="BU19" s="136"/>
      <c r="BV19" s="136"/>
      <c r="BW19" s="136"/>
      <c r="BX19" s="136"/>
      <c r="BY19" s="141"/>
      <c r="BZ19" s="136"/>
    </row>
    <row r="20" spans="1:78" ht="12.75">
      <c r="A20" s="145" t="s">
        <v>466</v>
      </c>
      <c r="B20" s="124">
        <v>220759.584</v>
      </c>
      <c r="C20" s="124">
        <v>51068.488</v>
      </c>
      <c r="D20" s="124">
        <v>61107.881</v>
      </c>
      <c r="E20" s="124">
        <v>37471.99</v>
      </c>
      <c r="F20" s="124">
        <v>71207.745</v>
      </c>
      <c r="G20" s="124">
        <v>0</v>
      </c>
      <c r="H20" s="124">
        <v>0</v>
      </c>
      <c r="I20" s="124">
        <v>0</v>
      </c>
      <c r="J20" s="124">
        <v>67558.409</v>
      </c>
      <c r="K20" s="124">
        <v>0</v>
      </c>
      <c r="L20" s="124">
        <v>27846.039</v>
      </c>
      <c r="M20" s="124">
        <v>0</v>
      </c>
      <c r="N20" s="124">
        <v>10686.458</v>
      </c>
      <c r="O20" s="124">
        <v>0</v>
      </c>
      <c r="P20" s="124">
        <v>0</v>
      </c>
      <c r="Q20" s="124">
        <v>24267.655</v>
      </c>
      <c r="R20" s="124">
        <v>36804.793</v>
      </c>
      <c r="S20" s="124">
        <v>0</v>
      </c>
      <c r="T20" s="124">
        <v>0</v>
      </c>
      <c r="U20" s="124">
        <v>0</v>
      </c>
      <c r="V20" s="124">
        <v>0</v>
      </c>
      <c r="W20" s="124">
        <v>13579.528</v>
      </c>
      <c r="X20" s="124">
        <v>0</v>
      </c>
      <c r="Y20" s="124">
        <v>0</v>
      </c>
      <c r="Z20" s="124">
        <v>5727.731</v>
      </c>
      <c r="AA20" s="124">
        <v>61107.881</v>
      </c>
      <c r="AB20" s="124">
        <v>0</v>
      </c>
      <c r="AC20" s="124">
        <v>0</v>
      </c>
      <c r="AD20" s="124">
        <v>0</v>
      </c>
      <c r="AE20" s="124">
        <v>0</v>
      </c>
      <c r="AF20" s="124">
        <v>0</v>
      </c>
      <c r="AG20" s="124">
        <v>0</v>
      </c>
      <c r="AH20" s="124">
        <v>1994.954</v>
      </c>
      <c r="AI20" s="124">
        <v>0</v>
      </c>
      <c r="AJ20" s="124">
        <v>2656.386</v>
      </c>
      <c r="AK20" s="124">
        <v>0</v>
      </c>
      <c r="AL20" s="124">
        <v>10026.192</v>
      </c>
      <c r="AM20" s="124">
        <v>0</v>
      </c>
      <c r="AN20" s="124">
        <v>0</v>
      </c>
      <c r="AO20" s="124">
        <v>0</v>
      </c>
      <c r="AP20" s="124">
        <v>0</v>
      </c>
      <c r="AQ20" s="124">
        <v>0</v>
      </c>
      <c r="AR20" s="124">
        <v>0</v>
      </c>
      <c r="AS20" s="124">
        <v>0</v>
      </c>
      <c r="AT20" s="124">
        <v>0</v>
      </c>
      <c r="AU20" s="124">
        <v>15136.551</v>
      </c>
      <c r="AV20" s="124">
        <v>0</v>
      </c>
      <c r="AW20" s="124">
        <v>0</v>
      </c>
      <c r="AX20" s="124">
        <v>0</v>
      </c>
      <c r="AY20" s="124">
        <v>0</v>
      </c>
      <c r="AZ20" s="124">
        <v>0</v>
      </c>
      <c r="BA20" s="124">
        <v>0</v>
      </c>
      <c r="BB20" s="124">
        <v>0</v>
      </c>
      <c r="BC20" s="124">
        <v>0</v>
      </c>
      <c r="BD20" s="124">
        <v>0</v>
      </c>
      <c r="BE20" s="124">
        <v>0</v>
      </c>
      <c r="BF20" s="124">
        <v>0</v>
      </c>
      <c r="BG20" s="124">
        <v>0</v>
      </c>
      <c r="BH20" s="124">
        <v>0</v>
      </c>
      <c r="BI20" s="124">
        <v>0</v>
      </c>
      <c r="BJ20" s="124">
        <v>0</v>
      </c>
      <c r="BK20" s="124">
        <v>0</v>
      </c>
      <c r="BL20" s="124">
        <v>0</v>
      </c>
      <c r="BM20" s="124">
        <v>0</v>
      </c>
      <c r="BN20" s="124">
        <v>0</v>
      </c>
      <c r="BO20" s="124">
        <v>0</v>
      </c>
      <c r="BP20" s="124"/>
      <c r="BQ20" s="124"/>
      <c r="BR20" s="124"/>
      <c r="BS20" s="136">
        <f aca="true" t="shared" si="0" ref="BS20:BS61">SUM(B20:BO20)</f>
        <v>719008.2650000001</v>
      </c>
      <c r="BT20" s="136">
        <f aca="true" t="shared" si="1" ref="BT20:BT61">SUM(D20+W20+AA20+AB20+AE20+AG20+AO20+AQ20+AS20+AV20+BC20+BD20+BE20+BG20+BJ20+BK20+BL20+BN20+BO20)</f>
        <v>135795.29</v>
      </c>
      <c r="BU20" s="136">
        <f aca="true" t="shared" si="2" ref="BU20:BU61">SUM(C20+F20+G20+K20+L20+N20+P20+Q20+S20+Z20+AK20+AL20+AU20)</f>
        <v>215966.85900000003</v>
      </c>
      <c r="BV20" s="136">
        <f aca="true" t="shared" si="3" ref="BV20:BV61">SUM(B20+E20+H20+I20+J20+M20+O20+R20+U20+V20+Y20+AC20+AD20+AH20+AJ20+AM20+AN20+AP20+AW20+AX20+AZ20+BB20+BF20+BM20)</f>
        <v>367246.11600000004</v>
      </c>
      <c r="BW20" s="136">
        <f aca="true" t="shared" si="4" ref="BW20:BW61">BT20+BU20+BV20</f>
        <v>719008.2650000001</v>
      </c>
      <c r="BX20" s="136">
        <f aca="true" t="shared" si="5" ref="BX20:BX61">SUM(T20+X20+AF20+AI20+AR20+AT20+AY20+BA20+BH20+BI20)</f>
        <v>0</v>
      </c>
      <c r="BY20" s="136"/>
      <c r="BZ20" s="136">
        <f aca="true" t="shared" si="6" ref="BZ20:BZ61">BW20+BX20</f>
        <v>719008.2650000001</v>
      </c>
    </row>
    <row r="21" spans="1:78" ht="6.75" customHeight="1">
      <c r="A21" s="14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136"/>
      <c r="BT21" s="136"/>
      <c r="BU21" s="136"/>
      <c r="BV21" s="136"/>
      <c r="BW21" s="136"/>
      <c r="BX21" s="136"/>
      <c r="BY21" s="29"/>
      <c r="BZ21" s="136"/>
    </row>
    <row r="22" spans="1:78" ht="12.75">
      <c r="A22" s="146" t="s">
        <v>529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136"/>
      <c r="BT22" s="136"/>
      <c r="BU22" s="136"/>
      <c r="BV22" s="136"/>
      <c r="BW22" s="136"/>
      <c r="BX22" s="136"/>
      <c r="BY22" s="29"/>
      <c r="BZ22" s="136"/>
    </row>
    <row r="23" spans="1:78" ht="12.75">
      <c r="A23" s="145" t="s">
        <v>468</v>
      </c>
      <c r="B23" s="10">
        <f>12233921.12+107519.206</f>
        <v>12341440.326</v>
      </c>
      <c r="C23" s="10">
        <v>8832977.818</v>
      </c>
      <c r="D23" s="10">
        <v>1631775.808</v>
      </c>
      <c r="E23" s="10">
        <f>5164029.791-284243</f>
        <v>4879786.791</v>
      </c>
      <c r="F23" s="10">
        <v>9954593.872</v>
      </c>
      <c r="G23" s="10">
        <v>5286313.329</v>
      </c>
      <c r="H23" s="10">
        <v>1184931.197</v>
      </c>
      <c r="I23" s="10">
        <v>6117093.022</v>
      </c>
      <c r="J23" s="10">
        <v>3182940.175</v>
      </c>
      <c r="K23" s="10">
        <v>1965757.65</v>
      </c>
      <c r="L23" s="10">
        <v>3660242.371</v>
      </c>
      <c r="M23" s="10">
        <v>4017264.087</v>
      </c>
      <c r="N23" s="10">
        <v>2230017.162</v>
      </c>
      <c r="O23" s="10">
        <f>2709839.972+429014</f>
        <v>3138853.972</v>
      </c>
      <c r="P23" s="10">
        <v>4402863.253</v>
      </c>
      <c r="Q23" s="10">
        <v>1902200.731</v>
      </c>
      <c r="R23" s="10">
        <f>3718418.243-347774.271</f>
        <v>3370643.9719999996</v>
      </c>
      <c r="S23" s="10">
        <v>1057550.74</v>
      </c>
      <c r="T23" s="10">
        <v>1366661.648</v>
      </c>
      <c r="U23" s="10">
        <v>502345.165</v>
      </c>
      <c r="V23" s="10">
        <v>491815.995</v>
      </c>
      <c r="W23" s="10">
        <v>369929.443</v>
      </c>
      <c r="X23" s="10">
        <v>3854227.611</v>
      </c>
      <c r="Y23" s="10">
        <v>3002808.136</v>
      </c>
      <c r="Z23" s="10">
        <v>800104.89</v>
      </c>
      <c r="AA23" s="10">
        <v>679335.145</v>
      </c>
      <c r="AB23" s="10">
        <v>34.758</v>
      </c>
      <c r="AC23" s="10">
        <v>407252.647</v>
      </c>
      <c r="AD23" s="10">
        <f>194175.639-20050</f>
        <v>174125.639</v>
      </c>
      <c r="AE23" s="10">
        <f>395371.625-12712.7</f>
        <v>382658.925</v>
      </c>
      <c r="AF23" s="10">
        <v>1161059.448</v>
      </c>
      <c r="AG23" s="10">
        <v>1741892.893</v>
      </c>
      <c r="AH23" s="10">
        <v>1065879.331</v>
      </c>
      <c r="AI23" s="10">
        <v>886095</v>
      </c>
      <c r="AJ23" s="10">
        <v>205510.493</v>
      </c>
      <c r="AK23" s="10">
        <v>312360.691</v>
      </c>
      <c r="AL23" s="10">
        <v>429</v>
      </c>
      <c r="AM23" s="10">
        <v>485426.219</v>
      </c>
      <c r="AN23" s="10">
        <v>641631.946</v>
      </c>
      <c r="AO23" s="10">
        <f>171898.77-15570</f>
        <v>156328.77</v>
      </c>
      <c r="AP23" s="10">
        <v>165580.337</v>
      </c>
      <c r="AQ23" s="10">
        <f>171414+8.084</f>
        <v>171422.084</v>
      </c>
      <c r="AR23" s="10">
        <v>188097.459</v>
      </c>
      <c r="AS23" s="10">
        <v>122471.32</v>
      </c>
      <c r="AT23" s="10">
        <v>244772.294</v>
      </c>
      <c r="AU23" s="10">
        <v>21161.707</v>
      </c>
      <c r="AV23" s="10">
        <v>0</v>
      </c>
      <c r="AW23" s="10">
        <f>89001.493+11731.296</f>
        <v>100732.789</v>
      </c>
      <c r="AX23" s="10">
        <v>23548.15</v>
      </c>
      <c r="AY23" s="10">
        <v>67080.051</v>
      </c>
      <c r="AZ23" s="10">
        <v>138369.783</v>
      </c>
      <c r="BA23" s="10">
        <f>48973.934+96530.124</f>
        <v>145504.058</v>
      </c>
      <c r="BB23" s="10">
        <v>504</v>
      </c>
      <c r="BC23" s="10">
        <v>5543.207</v>
      </c>
      <c r="BD23" s="10">
        <v>0</v>
      </c>
      <c r="BE23" s="10">
        <v>0</v>
      </c>
      <c r="BF23" s="10">
        <v>16515.818</v>
      </c>
      <c r="BG23" s="10">
        <v>12852.5</v>
      </c>
      <c r="BH23" s="10">
        <v>64626.87</v>
      </c>
      <c r="BI23" s="10">
        <v>0</v>
      </c>
      <c r="BJ23" s="10">
        <v>0</v>
      </c>
      <c r="BK23" s="10">
        <v>6575.905</v>
      </c>
      <c r="BL23" s="10">
        <v>0</v>
      </c>
      <c r="BM23" s="10">
        <v>0</v>
      </c>
      <c r="BN23" s="10">
        <v>0</v>
      </c>
      <c r="BO23" s="10">
        <v>0</v>
      </c>
      <c r="BP23" s="124"/>
      <c r="BQ23" s="124"/>
      <c r="BR23" s="124"/>
      <c r="BS23" s="136">
        <f t="shared" si="0"/>
        <v>99340518.40100004</v>
      </c>
      <c r="BT23" s="136">
        <f t="shared" si="1"/>
        <v>5280820.757999999</v>
      </c>
      <c r="BU23" s="136">
        <f t="shared" si="2"/>
        <v>40426573.214</v>
      </c>
      <c r="BV23" s="136">
        <f t="shared" si="3"/>
        <v>45654999.989999995</v>
      </c>
      <c r="BW23" s="136">
        <f t="shared" si="4"/>
        <v>91362393.962</v>
      </c>
      <c r="BX23" s="136">
        <f t="shared" si="5"/>
        <v>7978124.438999999</v>
      </c>
      <c r="BY23" s="136"/>
      <c r="BZ23" s="136">
        <f t="shared" si="6"/>
        <v>99340518.401</v>
      </c>
    </row>
    <row r="24" spans="1:78" ht="12.75">
      <c r="A24" s="145" t="s">
        <v>469</v>
      </c>
      <c r="B24" s="10">
        <f>38563596.242-107519.206</f>
        <v>38456077.036</v>
      </c>
      <c r="C24" s="10">
        <f>22289222.929+383121.436</f>
        <v>22672344.365000002</v>
      </c>
      <c r="D24" s="10">
        <v>23762997.493</v>
      </c>
      <c r="E24" s="10">
        <f>24623224.51+284243</f>
        <v>24907467.51</v>
      </c>
      <c r="F24" s="10">
        <v>15205951.221</v>
      </c>
      <c r="G24" s="10">
        <v>8073672.085</v>
      </c>
      <c r="H24" s="10">
        <v>13005407.206</v>
      </c>
      <c r="I24" s="10">
        <v>5675594.401</v>
      </c>
      <c r="J24" s="10">
        <v>6380590.151</v>
      </c>
      <c r="K24" s="10">
        <f>5721579.111+18079.376</f>
        <v>5739658.487</v>
      </c>
      <c r="L24" s="10">
        <v>6344945.057</v>
      </c>
      <c r="M24" s="10">
        <v>2565396.679</v>
      </c>
      <c r="N24" s="10">
        <v>7116197.196</v>
      </c>
      <c r="O24" s="10">
        <f>4185572.385-429014</f>
        <v>3756558.385</v>
      </c>
      <c r="P24" s="10">
        <v>3196473.709</v>
      </c>
      <c r="Q24" s="10">
        <v>4907308.893</v>
      </c>
      <c r="R24" s="10">
        <f>1077229.041+347774.271</f>
        <v>1425003.312</v>
      </c>
      <c r="S24" s="10">
        <v>4008712.804</v>
      </c>
      <c r="T24" s="10">
        <v>3669691.818</v>
      </c>
      <c r="U24" s="10">
        <v>4358394.428</v>
      </c>
      <c r="V24" s="10">
        <v>3831083.786</v>
      </c>
      <c r="W24" s="10">
        <v>3360548.123</v>
      </c>
      <c r="X24" s="10">
        <v>560173.187</v>
      </c>
      <c r="Y24" s="10">
        <v>674887.423</v>
      </c>
      <c r="Z24" s="10">
        <v>2288392.652</v>
      </c>
      <c r="AA24" s="10">
        <v>2099350.943</v>
      </c>
      <c r="AB24" s="10">
        <v>756540.81</v>
      </c>
      <c r="AC24" s="10">
        <v>1259183.985</v>
      </c>
      <c r="AD24" s="10">
        <f>1310790.147+20050</f>
        <v>1330840.147</v>
      </c>
      <c r="AE24" s="10">
        <f>1745732.833+12712.7</f>
        <v>1758445.533</v>
      </c>
      <c r="AF24" s="10">
        <v>1077978.33</v>
      </c>
      <c r="AG24" s="10">
        <v>396761.068</v>
      </c>
      <c r="AH24" s="10">
        <v>408279.112</v>
      </c>
      <c r="AI24" s="10">
        <v>1089714</v>
      </c>
      <c r="AJ24" s="10">
        <v>1354910.683</v>
      </c>
      <c r="AK24" s="10">
        <v>1276239.371</v>
      </c>
      <c r="AL24" s="10">
        <v>1215758.277</v>
      </c>
      <c r="AM24" s="10">
        <v>834666.143</v>
      </c>
      <c r="AN24" s="10">
        <v>555737.73</v>
      </c>
      <c r="AO24" s="10">
        <f>400130.982+15570</f>
        <v>415700.982</v>
      </c>
      <c r="AP24" s="10">
        <v>802206.911</v>
      </c>
      <c r="AQ24" s="10">
        <f>605827+11021.7+4200</f>
        <v>621048.7</v>
      </c>
      <c r="AR24" s="10">
        <v>632639.882</v>
      </c>
      <c r="AS24" s="10">
        <v>591638.627</v>
      </c>
      <c r="AT24" s="10">
        <v>565984.673</v>
      </c>
      <c r="AU24" s="10">
        <v>613596.752</v>
      </c>
      <c r="AV24" s="10">
        <v>549266.686</v>
      </c>
      <c r="AW24" s="10">
        <f>388350.166+50331.44</f>
        <v>438681.606</v>
      </c>
      <c r="AX24" s="10">
        <v>505074.465</v>
      </c>
      <c r="AY24" s="10">
        <v>351272.541</v>
      </c>
      <c r="AZ24" s="10">
        <v>278226.844</v>
      </c>
      <c r="BA24" s="10">
        <v>266714.698</v>
      </c>
      <c r="BB24" s="10">
        <v>359100.777</v>
      </c>
      <c r="BC24" s="10">
        <v>243384.171</v>
      </c>
      <c r="BD24" s="10">
        <v>209053.39</v>
      </c>
      <c r="BE24" s="10">
        <v>19517.545</v>
      </c>
      <c r="BF24" s="10">
        <f>86658.959+8457.746</f>
        <v>95116.705</v>
      </c>
      <c r="BG24" s="10">
        <v>93833.846</v>
      </c>
      <c r="BH24" s="10">
        <v>66816.184</v>
      </c>
      <c r="BI24" s="10">
        <v>26828.241</v>
      </c>
      <c r="BJ24" s="10">
        <f>11047.661+25212.64</f>
        <v>36260.301</v>
      </c>
      <c r="BK24" s="10">
        <v>10508.139</v>
      </c>
      <c r="BL24" s="10">
        <v>33907.709</v>
      </c>
      <c r="BM24" s="10">
        <v>10603.68</v>
      </c>
      <c r="BN24" s="10">
        <v>0</v>
      </c>
      <c r="BO24" s="10">
        <v>0</v>
      </c>
      <c r="BP24" s="124"/>
      <c r="BQ24" s="124"/>
      <c r="BR24" s="124"/>
      <c r="BS24" s="136">
        <f t="shared" si="0"/>
        <v>239194917.594</v>
      </c>
      <c r="BT24" s="136">
        <f t="shared" si="1"/>
        <v>34958764.06599999</v>
      </c>
      <c r="BU24" s="136">
        <f t="shared" si="2"/>
        <v>82659250.86900002</v>
      </c>
      <c r="BV24" s="136">
        <f t="shared" si="3"/>
        <v>113269089.10500002</v>
      </c>
      <c r="BW24" s="136">
        <f t="shared" si="4"/>
        <v>230887104.04000002</v>
      </c>
      <c r="BX24" s="136">
        <f t="shared" si="5"/>
        <v>8307813.554000001</v>
      </c>
      <c r="BY24" s="136"/>
      <c r="BZ24" s="136">
        <f t="shared" si="6"/>
        <v>239194917.594</v>
      </c>
    </row>
    <row r="25" spans="1:78" ht="12.75">
      <c r="A25" s="147" t="s">
        <v>470</v>
      </c>
      <c r="B25" s="10">
        <v>8895590.256</v>
      </c>
      <c r="C25" s="10">
        <v>4938634.529</v>
      </c>
      <c r="D25" s="10">
        <v>9628481.743</v>
      </c>
      <c r="E25" s="10">
        <v>1590085.73</v>
      </c>
      <c r="F25" s="10">
        <v>5297613.057</v>
      </c>
      <c r="G25" s="10">
        <v>577605.683</v>
      </c>
      <c r="H25" s="10">
        <v>408168.244</v>
      </c>
      <c r="I25" s="10">
        <v>1306943.788</v>
      </c>
      <c r="J25" s="10">
        <v>1956960.635</v>
      </c>
      <c r="K25" s="10">
        <v>3395579.288</v>
      </c>
      <c r="L25" s="10">
        <v>1040345.175</v>
      </c>
      <c r="M25" s="10">
        <v>243309.282</v>
      </c>
      <c r="N25" s="10">
        <v>314914.086</v>
      </c>
      <c r="O25" s="10">
        <v>1709627.077</v>
      </c>
      <c r="P25" s="10">
        <v>460944.755</v>
      </c>
      <c r="Q25" s="10">
        <v>9014.826</v>
      </c>
      <c r="R25" s="10">
        <v>2309645.613</v>
      </c>
      <c r="S25" s="10">
        <v>80597.439</v>
      </c>
      <c r="T25" s="10">
        <v>309675.786</v>
      </c>
      <c r="U25" s="10">
        <v>441628.536</v>
      </c>
      <c r="V25" s="10">
        <v>812509.285</v>
      </c>
      <c r="W25" s="10">
        <v>884407.579</v>
      </c>
      <c r="X25" s="10">
        <v>0</v>
      </c>
      <c r="Y25" s="10">
        <v>389319.758</v>
      </c>
      <c r="Z25" s="10">
        <v>112781.193</v>
      </c>
      <c r="AA25" s="10">
        <v>404073.491</v>
      </c>
      <c r="AB25" s="10">
        <v>1321453.18</v>
      </c>
      <c r="AC25" s="10">
        <v>308933.103</v>
      </c>
      <c r="AD25" s="10">
        <v>973567.401</v>
      </c>
      <c r="AE25" s="10">
        <v>174555.004</v>
      </c>
      <c r="AF25" s="10">
        <v>0</v>
      </c>
      <c r="AG25" s="10">
        <v>0</v>
      </c>
      <c r="AH25" s="10">
        <v>668297.318</v>
      </c>
      <c r="AI25" s="10">
        <v>26502</v>
      </c>
      <c r="AJ25" s="10">
        <v>118625.756</v>
      </c>
      <c r="AK25" s="10">
        <v>57697.773</v>
      </c>
      <c r="AL25" s="10">
        <v>14310</v>
      </c>
      <c r="AM25" s="10">
        <v>62412.736</v>
      </c>
      <c r="AN25" s="10">
        <v>87317.273</v>
      </c>
      <c r="AO25" s="10">
        <v>396292.557</v>
      </c>
      <c r="AP25" s="10">
        <v>86629.557</v>
      </c>
      <c r="AQ25" s="10">
        <f>129745+1000.545</f>
        <v>130745.545</v>
      </c>
      <c r="AR25" s="10">
        <v>48294.074</v>
      </c>
      <c r="AS25" s="10">
        <v>126205.188</v>
      </c>
      <c r="AT25" s="10">
        <v>32023.991</v>
      </c>
      <c r="AU25" s="10">
        <v>11864.16</v>
      </c>
      <c r="AV25" s="10">
        <v>101989</v>
      </c>
      <c r="AW25" s="10">
        <v>91416.854</v>
      </c>
      <c r="AX25" s="10">
        <v>6115.235</v>
      </c>
      <c r="AY25" s="10">
        <v>0</v>
      </c>
      <c r="AZ25" s="10">
        <v>16063.993</v>
      </c>
      <c r="BA25" s="10">
        <v>2706.815</v>
      </c>
      <c r="BB25" s="10">
        <v>20447.974</v>
      </c>
      <c r="BC25" s="10">
        <v>78710.347</v>
      </c>
      <c r="BD25" s="10">
        <v>9557.908</v>
      </c>
      <c r="BE25" s="10">
        <v>83944.106</v>
      </c>
      <c r="BF25" s="10">
        <v>45213.521</v>
      </c>
      <c r="BG25" s="10">
        <v>5661.365</v>
      </c>
      <c r="BH25" s="10">
        <v>0</v>
      </c>
      <c r="BI25" s="10">
        <v>71021.62</v>
      </c>
      <c r="BJ25" s="10">
        <v>12921.904</v>
      </c>
      <c r="BK25" s="10">
        <v>0</v>
      </c>
      <c r="BL25" s="10">
        <v>0</v>
      </c>
      <c r="BM25" s="10">
        <v>0</v>
      </c>
      <c r="BN25" s="10">
        <v>13534.954</v>
      </c>
      <c r="BO25" s="10">
        <v>0</v>
      </c>
      <c r="BP25" s="124"/>
      <c r="BQ25" s="124"/>
      <c r="BR25" s="124"/>
      <c r="BS25" s="136">
        <f t="shared" si="0"/>
        <v>52723489.046</v>
      </c>
      <c r="BT25" s="136">
        <f t="shared" si="1"/>
        <v>13372533.871</v>
      </c>
      <c r="BU25" s="136">
        <f t="shared" si="2"/>
        <v>16311901.964</v>
      </c>
      <c r="BV25" s="136">
        <f t="shared" si="3"/>
        <v>22548828.925</v>
      </c>
      <c r="BW25" s="136">
        <f t="shared" si="4"/>
        <v>52233264.760000005</v>
      </c>
      <c r="BX25" s="136">
        <f t="shared" si="5"/>
        <v>490224.286</v>
      </c>
      <c r="BY25" s="136"/>
      <c r="BZ25" s="136">
        <f t="shared" si="6"/>
        <v>52723489.046000004</v>
      </c>
    </row>
    <row r="26" spans="1:78" ht="12.75">
      <c r="A26" s="147" t="s">
        <v>471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7253.652</v>
      </c>
      <c r="H26" s="10">
        <v>0</v>
      </c>
      <c r="I26" s="10">
        <v>0</v>
      </c>
      <c r="J26" s="10">
        <v>43199.184</v>
      </c>
      <c r="K26" s="10">
        <v>0</v>
      </c>
      <c r="L26" s="10">
        <v>0</v>
      </c>
      <c r="M26" s="10">
        <v>2998751.066</v>
      </c>
      <c r="N26" s="10">
        <v>0</v>
      </c>
      <c r="O26" s="10">
        <v>0</v>
      </c>
      <c r="P26" s="10">
        <v>27529.779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28080.624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4394.353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24"/>
      <c r="BQ26" s="124"/>
      <c r="BR26" s="124"/>
      <c r="BS26" s="136">
        <f t="shared" si="0"/>
        <v>3109208.6580000003</v>
      </c>
      <c r="BT26" s="136">
        <f t="shared" si="1"/>
        <v>0</v>
      </c>
      <c r="BU26" s="136">
        <f t="shared" si="2"/>
        <v>62864.05499999999</v>
      </c>
      <c r="BV26" s="136">
        <f t="shared" si="3"/>
        <v>3041950.25</v>
      </c>
      <c r="BW26" s="136">
        <f t="shared" si="4"/>
        <v>3104814.305</v>
      </c>
      <c r="BX26" s="136">
        <f t="shared" si="5"/>
        <v>4394.353</v>
      </c>
      <c r="BY26" s="136"/>
      <c r="BZ26" s="136">
        <f t="shared" si="6"/>
        <v>3109208.6580000003</v>
      </c>
    </row>
    <row r="27" spans="1:78" ht="12.75">
      <c r="A27" s="139" t="s">
        <v>472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436206.4</v>
      </c>
      <c r="H27" s="12">
        <v>0</v>
      </c>
      <c r="I27" s="12">
        <v>0</v>
      </c>
      <c r="J27" s="12">
        <v>13232.344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820817.795</v>
      </c>
      <c r="R27" s="12">
        <v>0</v>
      </c>
      <c r="S27" s="12">
        <v>28770.128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634656.235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1788.56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12143.289</v>
      </c>
      <c r="AR27" s="12">
        <v>0</v>
      </c>
      <c r="AS27" s="12">
        <v>0</v>
      </c>
      <c r="AT27" s="12">
        <v>0</v>
      </c>
      <c r="AU27" s="12">
        <v>123148.938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1600.334</v>
      </c>
      <c r="BM27" s="12">
        <v>0</v>
      </c>
      <c r="BN27" s="12">
        <v>0</v>
      </c>
      <c r="BO27" s="12">
        <v>0</v>
      </c>
      <c r="BP27" s="125"/>
      <c r="BQ27" s="125"/>
      <c r="BR27" s="125"/>
      <c r="BS27" s="136">
        <f t="shared" si="0"/>
        <v>2072364.0230000005</v>
      </c>
      <c r="BT27" s="136">
        <f t="shared" si="1"/>
        <v>13743.623000000001</v>
      </c>
      <c r="BU27" s="136">
        <f t="shared" si="2"/>
        <v>2043599.4960000003</v>
      </c>
      <c r="BV27" s="136">
        <f t="shared" si="3"/>
        <v>15020.903999999999</v>
      </c>
      <c r="BW27" s="136">
        <f t="shared" si="4"/>
        <v>2072364.0230000003</v>
      </c>
      <c r="BX27" s="136">
        <f t="shared" si="5"/>
        <v>0</v>
      </c>
      <c r="BY27" s="136"/>
      <c r="BZ27" s="136">
        <f t="shared" si="6"/>
        <v>2072364.0230000003</v>
      </c>
    </row>
    <row r="28" spans="1:78" ht="12.75">
      <c r="A28" s="147" t="s">
        <v>467</v>
      </c>
      <c r="B28" s="12">
        <v>0</v>
      </c>
      <c r="C28" s="12">
        <v>34602.056</v>
      </c>
      <c r="D28" s="12">
        <v>9435.019</v>
      </c>
      <c r="E28" s="12">
        <v>5581.776</v>
      </c>
      <c r="F28" s="12">
        <v>2418.784</v>
      </c>
      <c r="G28" s="12">
        <v>263295.855</v>
      </c>
      <c r="H28" s="12">
        <v>0</v>
      </c>
      <c r="I28" s="12">
        <v>0</v>
      </c>
      <c r="J28" s="12">
        <f>179168.511+32700</f>
        <v>211868.511</v>
      </c>
      <c r="K28" s="12">
        <v>80582.294</v>
      </c>
      <c r="L28" s="12">
        <v>73868.222</v>
      </c>
      <c r="M28" s="12">
        <v>0</v>
      </c>
      <c r="N28" s="12">
        <v>35352.377</v>
      </c>
      <c r="O28" s="12">
        <v>152100</v>
      </c>
      <c r="P28" s="12">
        <v>4247.208</v>
      </c>
      <c r="Q28" s="12">
        <v>6117.109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305.012</v>
      </c>
      <c r="AA28" s="12">
        <v>0</v>
      </c>
      <c r="AB28" s="12">
        <v>0</v>
      </c>
      <c r="AC28" s="12">
        <v>10000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241.5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9620.774</v>
      </c>
      <c r="AV28" s="12">
        <v>651.658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4"/>
      <c r="BQ28" s="124"/>
      <c r="BR28" s="124"/>
      <c r="BS28" s="136">
        <f t="shared" si="0"/>
        <v>900288.1549999999</v>
      </c>
      <c r="BT28" s="136">
        <f t="shared" si="1"/>
        <v>10328.177</v>
      </c>
      <c r="BU28" s="136">
        <f t="shared" si="2"/>
        <v>510409.6909999999</v>
      </c>
      <c r="BV28" s="136">
        <f t="shared" si="3"/>
        <v>379550.287</v>
      </c>
      <c r="BW28" s="136">
        <f t="shared" si="4"/>
        <v>900288.1549999999</v>
      </c>
      <c r="BX28" s="136">
        <f t="shared" si="5"/>
        <v>0</v>
      </c>
      <c r="BY28" s="136"/>
      <c r="BZ28" s="136">
        <f t="shared" si="6"/>
        <v>900288.1549999999</v>
      </c>
    </row>
    <row r="29" spans="1:78" s="33" customFormat="1" ht="12.75">
      <c r="A29" s="143" t="s">
        <v>395</v>
      </c>
      <c r="B29" s="110">
        <f aca="true" t="shared" si="7" ref="B29:AG29">SUM(B23:B28)</f>
        <v>59693107.61799999</v>
      </c>
      <c r="C29" s="110">
        <f t="shared" si="7"/>
        <v>36478558.76800001</v>
      </c>
      <c r="D29" s="110">
        <f t="shared" si="7"/>
        <v>35032690.063</v>
      </c>
      <c r="E29" s="110">
        <f t="shared" si="7"/>
        <v>31382921.807000004</v>
      </c>
      <c r="F29" s="110">
        <f t="shared" si="7"/>
        <v>30460576.934000004</v>
      </c>
      <c r="G29" s="110">
        <f t="shared" si="7"/>
        <v>14644347.004000003</v>
      </c>
      <c r="H29" s="110">
        <f t="shared" si="7"/>
        <v>14598506.647000002</v>
      </c>
      <c r="I29" s="110">
        <f t="shared" si="7"/>
        <v>13099631.211000001</v>
      </c>
      <c r="J29" s="110">
        <f t="shared" si="7"/>
        <v>11788791</v>
      </c>
      <c r="K29" s="110">
        <f t="shared" si="7"/>
        <v>11181577.719</v>
      </c>
      <c r="L29" s="110">
        <f t="shared" si="7"/>
        <v>11119400.825</v>
      </c>
      <c r="M29" s="110">
        <f t="shared" si="7"/>
        <v>9824721.114</v>
      </c>
      <c r="N29" s="110">
        <f t="shared" si="7"/>
        <v>9696480.821</v>
      </c>
      <c r="O29" s="110">
        <f t="shared" si="7"/>
        <v>8757139.434</v>
      </c>
      <c r="P29" s="110">
        <f t="shared" si="7"/>
        <v>8092058.703999999</v>
      </c>
      <c r="Q29" s="110">
        <f t="shared" si="7"/>
        <v>7645459.354</v>
      </c>
      <c r="R29" s="110">
        <f t="shared" si="7"/>
        <v>7105292.897</v>
      </c>
      <c r="S29" s="110">
        <f t="shared" si="7"/>
        <v>5175631.111</v>
      </c>
      <c r="T29" s="110">
        <f t="shared" si="7"/>
        <v>5346029.252</v>
      </c>
      <c r="U29" s="110">
        <f t="shared" si="7"/>
        <v>5302368.129000001</v>
      </c>
      <c r="V29" s="110">
        <f t="shared" si="7"/>
        <v>5135409.066</v>
      </c>
      <c r="W29" s="110">
        <f t="shared" si="7"/>
        <v>4614885.1450000005</v>
      </c>
      <c r="X29" s="110">
        <f t="shared" si="7"/>
        <v>4414400.798</v>
      </c>
      <c r="Y29" s="110">
        <f t="shared" si="7"/>
        <v>4067015.317</v>
      </c>
      <c r="Z29" s="110">
        <f t="shared" si="7"/>
        <v>3864320.6059999997</v>
      </c>
      <c r="AA29" s="110">
        <f t="shared" si="7"/>
        <v>3182759.579</v>
      </c>
      <c r="AB29" s="110">
        <f t="shared" si="7"/>
        <v>2078028.7480000001</v>
      </c>
      <c r="AC29" s="110">
        <f t="shared" si="7"/>
        <v>1985369.7350000003</v>
      </c>
      <c r="AD29" s="110">
        <f t="shared" si="7"/>
        <v>2478533.187</v>
      </c>
      <c r="AE29" s="110">
        <f t="shared" si="7"/>
        <v>2315659.4620000003</v>
      </c>
      <c r="AF29" s="110">
        <f t="shared" si="7"/>
        <v>2239037.778</v>
      </c>
      <c r="AG29" s="110">
        <f t="shared" si="7"/>
        <v>2138653.961</v>
      </c>
      <c r="AH29" s="110">
        <f aca="true" t="shared" si="8" ref="AH29:BL29">SUM(AH23:AH28)</f>
        <v>2144244.321</v>
      </c>
      <c r="AI29" s="110">
        <f t="shared" si="8"/>
        <v>2002311</v>
      </c>
      <c r="AJ29" s="110">
        <f t="shared" si="8"/>
        <v>1679046.932</v>
      </c>
      <c r="AK29" s="110">
        <f t="shared" si="8"/>
        <v>1646297.835</v>
      </c>
      <c r="AL29" s="110">
        <f t="shared" si="8"/>
        <v>1230497.277</v>
      </c>
      <c r="AM29" s="110">
        <f t="shared" si="8"/>
        <v>1382505.098</v>
      </c>
      <c r="AN29" s="110">
        <f t="shared" si="8"/>
        <v>1284686.949</v>
      </c>
      <c r="AO29" s="110">
        <f t="shared" si="8"/>
        <v>968563.8089999999</v>
      </c>
      <c r="AP29" s="110">
        <f t="shared" si="8"/>
        <v>1054416.805</v>
      </c>
      <c r="AQ29" s="110">
        <f t="shared" si="8"/>
        <v>935359.618</v>
      </c>
      <c r="AR29" s="110">
        <f t="shared" si="8"/>
        <v>869031.415</v>
      </c>
      <c r="AS29" s="110">
        <f t="shared" si="8"/>
        <v>840315.1349999999</v>
      </c>
      <c r="AT29" s="110">
        <f t="shared" si="8"/>
        <v>842780.958</v>
      </c>
      <c r="AU29" s="110">
        <f t="shared" si="8"/>
        <v>779392.331</v>
      </c>
      <c r="AV29" s="110">
        <f t="shared" si="8"/>
        <v>651907.344</v>
      </c>
      <c r="AW29" s="110">
        <f t="shared" si="8"/>
        <v>630831.2490000001</v>
      </c>
      <c r="AX29" s="110">
        <f t="shared" si="8"/>
        <v>534737.85</v>
      </c>
      <c r="AY29" s="110">
        <f t="shared" si="8"/>
        <v>418352.59200000006</v>
      </c>
      <c r="AZ29" s="110">
        <f t="shared" si="8"/>
        <v>432660.62</v>
      </c>
      <c r="BA29" s="110">
        <f t="shared" si="8"/>
        <v>419319.92399999994</v>
      </c>
      <c r="BB29" s="110">
        <f t="shared" si="8"/>
        <v>380052.751</v>
      </c>
      <c r="BC29" s="110">
        <f t="shared" si="8"/>
        <v>327637.725</v>
      </c>
      <c r="BD29" s="110">
        <f t="shared" si="8"/>
        <v>218611.298</v>
      </c>
      <c r="BE29" s="110">
        <f t="shared" si="8"/>
        <v>103461.651</v>
      </c>
      <c r="BF29" s="110">
        <f t="shared" si="8"/>
        <v>156846.044</v>
      </c>
      <c r="BG29" s="110">
        <f t="shared" si="8"/>
        <v>112347.71100000001</v>
      </c>
      <c r="BH29" s="110">
        <f t="shared" si="8"/>
        <v>131443.054</v>
      </c>
      <c r="BI29" s="110">
        <f t="shared" si="8"/>
        <v>97849.861</v>
      </c>
      <c r="BJ29" s="110">
        <f t="shared" si="8"/>
        <v>49182.205</v>
      </c>
      <c r="BK29" s="110">
        <f t="shared" si="8"/>
        <v>17084.043999999998</v>
      </c>
      <c r="BL29" s="110">
        <f t="shared" si="8"/>
        <v>35508.043000000005</v>
      </c>
      <c r="BM29" s="110">
        <f>SUM(BM23:BM28)</f>
        <v>10603.68</v>
      </c>
      <c r="BN29" s="110">
        <f>SUM(BN23:BN28)</f>
        <v>13534.954</v>
      </c>
      <c r="BO29" s="110">
        <f>SUM(BO23:BO28)</f>
        <v>0</v>
      </c>
      <c r="BP29" s="110"/>
      <c r="BQ29" s="110"/>
      <c r="BR29" s="110"/>
      <c r="BS29" s="136">
        <f t="shared" si="0"/>
        <v>397340785.8770001</v>
      </c>
      <c r="BT29" s="136">
        <f t="shared" si="1"/>
        <v>53636190.495000005</v>
      </c>
      <c r="BU29" s="136">
        <f t="shared" si="2"/>
        <v>142014599.28900003</v>
      </c>
      <c r="BV29" s="136">
        <f t="shared" si="3"/>
        <v>184909439.46100003</v>
      </c>
      <c r="BW29" s="136">
        <f t="shared" si="4"/>
        <v>380560229.24500006</v>
      </c>
      <c r="BX29" s="136">
        <f t="shared" si="5"/>
        <v>16780556.632000003</v>
      </c>
      <c r="BY29" s="110"/>
      <c r="BZ29" s="136">
        <f t="shared" si="6"/>
        <v>397340785.8770001</v>
      </c>
    </row>
    <row r="30" spans="1:78" ht="15.75" customHeight="1">
      <c r="A30" s="204" t="s">
        <v>530</v>
      </c>
      <c r="B30" s="10">
        <f aca="true" t="shared" si="9" ref="B30:AG30">B29+B20</f>
        <v>59913867.20199999</v>
      </c>
      <c r="C30" s="10">
        <f t="shared" si="9"/>
        <v>36529627.256000005</v>
      </c>
      <c r="D30" s="10">
        <f t="shared" si="9"/>
        <v>35093797.944</v>
      </c>
      <c r="E30" s="10">
        <f t="shared" si="9"/>
        <v>31420393.797000002</v>
      </c>
      <c r="F30" s="10">
        <f t="shared" si="9"/>
        <v>30531784.679000005</v>
      </c>
      <c r="G30" s="10">
        <f t="shared" si="9"/>
        <v>14644347.004000003</v>
      </c>
      <c r="H30" s="10">
        <f t="shared" si="9"/>
        <v>14598506.647000002</v>
      </c>
      <c r="I30" s="10">
        <f t="shared" si="9"/>
        <v>13099631.211000001</v>
      </c>
      <c r="J30" s="10">
        <f t="shared" si="9"/>
        <v>11856349.409</v>
      </c>
      <c r="K30" s="10">
        <f t="shared" si="9"/>
        <v>11181577.719</v>
      </c>
      <c r="L30" s="10">
        <f t="shared" si="9"/>
        <v>11147246.864</v>
      </c>
      <c r="M30" s="10">
        <f t="shared" si="9"/>
        <v>9824721.114</v>
      </c>
      <c r="N30" s="10">
        <f t="shared" si="9"/>
        <v>9707167.279000001</v>
      </c>
      <c r="O30" s="10">
        <f t="shared" si="9"/>
        <v>8757139.434</v>
      </c>
      <c r="P30" s="10">
        <f t="shared" si="9"/>
        <v>8092058.703999999</v>
      </c>
      <c r="Q30" s="10">
        <f t="shared" si="9"/>
        <v>7669727.009000001</v>
      </c>
      <c r="R30" s="10">
        <f t="shared" si="9"/>
        <v>7142097.6899999995</v>
      </c>
      <c r="S30" s="10">
        <f t="shared" si="9"/>
        <v>5175631.111</v>
      </c>
      <c r="T30" s="10">
        <f t="shared" si="9"/>
        <v>5346029.252</v>
      </c>
      <c r="U30" s="10">
        <f t="shared" si="9"/>
        <v>5302368.129000001</v>
      </c>
      <c r="V30" s="10">
        <f t="shared" si="9"/>
        <v>5135409.066</v>
      </c>
      <c r="W30" s="10">
        <f t="shared" si="9"/>
        <v>4628464.673</v>
      </c>
      <c r="X30" s="10">
        <f t="shared" si="9"/>
        <v>4414400.798</v>
      </c>
      <c r="Y30" s="10">
        <f t="shared" si="9"/>
        <v>4067015.317</v>
      </c>
      <c r="Z30" s="10">
        <f t="shared" si="9"/>
        <v>3870048.337</v>
      </c>
      <c r="AA30" s="10">
        <f t="shared" si="9"/>
        <v>3243867.46</v>
      </c>
      <c r="AB30" s="10">
        <f t="shared" si="9"/>
        <v>2078028.7480000001</v>
      </c>
      <c r="AC30" s="10">
        <f t="shared" si="9"/>
        <v>1985369.7350000003</v>
      </c>
      <c r="AD30" s="10">
        <f t="shared" si="9"/>
        <v>2478533.187</v>
      </c>
      <c r="AE30" s="10">
        <f t="shared" si="9"/>
        <v>2315659.4620000003</v>
      </c>
      <c r="AF30" s="10">
        <f t="shared" si="9"/>
        <v>2239037.778</v>
      </c>
      <c r="AG30" s="10">
        <f t="shared" si="9"/>
        <v>2138653.961</v>
      </c>
      <c r="AH30" s="10">
        <f aca="true" t="shared" si="10" ref="AH30:BL30">AH29+AH20</f>
        <v>2146239.275</v>
      </c>
      <c r="AI30" s="10">
        <f t="shared" si="10"/>
        <v>2002311</v>
      </c>
      <c r="AJ30" s="10">
        <f t="shared" si="10"/>
        <v>1681703.318</v>
      </c>
      <c r="AK30" s="10">
        <f t="shared" si="10"/>
        <v>1646297.835</v>
      </c>
      <c r="AL30" s="10">
        <f t="shared" si="10"/>
        <v>1240523.469</v>
      </c>
      <c r="AM30" s="10">
        <f t="shared" si="10"/>
        <v>1382505.098</v>
      </c>
      <c r="AN30" s="10">
        <f t="shared" si="10"/>
        <v>1284686.949</v>
      </c>
      <c r="AO30" s="10">
        <f t="shared" si="10"/>
        <v>968563.8089999999</v>
      </c>
      <c r="AP30" s="10">
        <f t="shared" si="10"/>
        <v>1054416.805</v>
      </c>
      <c r="AQ30" s="10">
        <f t="shared" si="10"/>
        <v>935359.618</v>
      </c>
      <c r="AR30" s="10">
        <f t="shared" si="10"/>
        <v>869031.415</v>
      </c>
      <c r="AS30" s="10">
        <f t="shared" si="10"/>
        <v>840315.1349999999</v>
      </c>
      <c r="AT30" s="10">
        <f t="shared" si="10"/>
        <v>842780.958</v>
      </c>
      <c r="AU30" s="10">
        <f t="shared" si="10"/>
        <v>794528.882</v>
      </c>
      <c r="AV30" s="10">
        <f t="shared" si="10"/>
        <v>651907.344</v>
      </c>
      <c r="AW30" s="10">
        <f t="shared" si="10"/>
        <v>630831.2490000001</v>
      </c>
      <c r="AX30" s="10">
        <f t="shared" si="10"/>
        <v>534737.85</v>
      </c>
      <c r="AY30" s="10">
        <f t="shared" si="10"/>
        <v>418352.59200000006</v>
      </c>
      <c r="AZ30" s="10">
        <f t="shared" si="10"/>
        <v>432660.62</v>
      </c>
      <c r="BA30" s="10">
        <f t="shared" si="10"/>
        <v>419319.92399999994</v>
      </c>
      <c r="BB30" s="10">
        <f t="shared" si="10"/>
        <v>380052.751</v>
      </c>
      <c r="BC30" s="10">
        <f t="shared" si="10"/>
        <v>327637.725</v>
      </c>
      <c r="BD30" s="10">
        <f t="shared" si="10"/>
        <v>218611.298</v>
      </c>
      <c r="BE30" s="10">
        <f t="shared" si="10"/>
        <v>103461.651</v>
      </c>
      <c r="BF30" s="10">
        <f t="shared" si="10"/>
        <v>156846.044</v>
      </c>
      <c r="BG30" s="10">
        <f t="shared" si="10"/>
        <v>112347.71100000001</v>
      </c>
      <c r="BH30" s="10">
        <f t="shared" si="10"/>
        <v>131443.054</v>
      </c>
      <c r="BI30" s="10">
        <f t="shared" si="10"/>
        <v>97849.861</v>
      </c>
      <c r="BJ30" s="10">
        <f t="shared" si="10"/>
        <v>49182.205</v>
      </c>
      <c r="BK30" s="10">
        <f t="shared" si="10"/>
        <v>17084.043999999998</v>
      </c>
      <c r="BL30" s="10">
        <f t="shared" si="10"/>
        <v>35508.043000000005</v>
      </c>
      <c r="BM30" s="10">
        <f>BM29+BM20</f>
        <v>10603.68</v>
      </c>
      <c r="BN30" s="10">
        <f>BN29+BN20</f>
        <v>13534.954</v>
      </c>
      <c r="BO30" s="10">
        <f>BO29+BO20</f>
        <v>0</v>
      </c>
      <c r="BP30" s="10"/>
      <c r="BQ30" s="10"/>
      <c r="BR30" s="10"/>
      <c r="BS30" s="136">
        <f t="shared" si="0"/>
        <v>398059794.14200014</v>
      </c>
      <c r="BT30" s="136">
        <f t="shared" si="1"/>
        <v>53771985.785000004</v>
      </c>
      <c r="BU30" s="136">
        <f t="shared" si="2"/>
        <v>142230566.14800003</v>
      </c>
      <c r="BV30" s="136">
        <f t="shared" si="3"/>
        <v>185276685.57700002</v>
      </c>
      <c r="BW30" s="136">
        <f t="shared" si="4"/>
        <v>381279237.51000005</v>
      </c>
      <c r="BX30" s="136">
        <f t="shared" si="5"/>
        <v>16780556.632000003</v>
      </c>
      <c r="BY30" s="136"/>
      <c r="BZ30" s="136">
        <f t="shared" si="6"/>
        <v>398059794.1420001</v>
      </c>
    </row>
    <row r="31" spans="1:78" ht="12.75">
      <c r="A31" s="142" t="s">
        <v>473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36"/>
      <c r="BT31" s="136"/>
      <c r="BU31" s="136"/>
      <c r="BV31" s="136"/>
      <c r="BW31" s="136"/>
      <c r="BX31" s="136"/>
      <c r="BY31" s="136"/>
      <c r="BZ31" s="136"/>
    </row>
    <row r="32" spans="1:78" ht="12.75">
      <c r="A32" s="145" t="s">
        <v>474</v>
      </c>
      <c r="B32" s="10">
        <v>383000</v>
      </c>
      <c r="C32" s="10">
        <v>220000</v>
      </c>
      <c r="D32" s="10">
        <v>371436.754</v>
      </c>
      <c r="E32" s="10">
        <v>240587.991</v>
      </c>
      <c r="F32" s="10">
        <v>65664.166</v>
      </c>
      <c r="G32" s="10">
        <v>72145.021</v>
      </c>
      <c r="H32" s="10">
        <v>9988.355</v>
      </c>
      <c r="I32" s="10">
        <v>0</v>
      </c>
      <c r="J32" s="10">
        <v>49431.487</v>
      </c>
      <c r="K32" s="10">
        <v>100881.185</v>
      </c>
      <c r="L32" s="10">
        <v>99123.986</v>
      </c>
      <c r="M32" s="10">
        <v>12623.703</v>
      </c>
      <c r="N32" s="10">
        <v>228895.232</v>
      </c>
      <c r="O32" s="10">
        <v>42179.596</v>
      </c>
      <c r="P32" s="10">
        <v>66000</v>
      </c>
      <c r="Q32" s="10">
        <v>65277.945</v>
      </c>
      <c r="R32" s="10">
        <v>53632.8</v>
      </c>
      <c r="S32" s="10">
        <v>43771.167</v>
      </c>
      <c r="T32" s="10">
        <v>0</v>
      </c>
      <c r="U32" s="10">
        <v>40483</v>
      </c>
      <c r="V32" s="10">
        <v>29331.942</v>
      </c>
      <c r="W32" s="10">
        <v>30609.221</v>
      </c>
      <c r="X32" s="10">
        <v>0</v>
      </c>
      <c r="Y32" s="10">
        <v>0</v>
      </c>
      <c r="Z32" s="10">
        <v>32000</v>
      </c>
      <c r="AA32" s="10">
        <v>72607.28</v>
      </c>
      <c r="AB32" s="10">
        <v>569156.189</v>
      </c>
      <c r="AC32" s="10">
        <v>40741.191</v>
      </c>
      <c r="AD32" s="10">
        <v>2382.869</v>
      </c>
      <c r="AE32" s="10">
        <v>0</v>
      </c>
      <c r="AF32" s="10">
        <v>0</v>
      </c>
      <c r="AG32" s="10">
        <v>70245.583</v>
      </c>
      <c r="AH32" s="10">
        <v>2580.855</v>
      </c>
      <c r="AI32" s="10">
        <v>0</v>
      </c>
      <c r="AJ32" s="10">
        <v>10015.424</v>
      </c>
      <c r="AK32" s="10">
        <v>4875.925</v>
      </c>
      <c r="AL32" s="10">
        <v>8583.125</v>
      </c>
      <c r="AM32" s="10">
        <v>0</v>
      </c>
      <c r="AN32" s="10">
        <v>12976.424</v>
      </c>
      <c r="AO32" s="10">
        <v>18232.121</v>
      </c>
      <c r="AP32" s="10">
        <v>0</v>
      </c>
      <c r="AQ32" s="10">
        <f>232.405+1745.524</f>
        <v>1977.9289999999999</v>
      </c>
      <c r="AR32" s="10">
        <v>0</v>
      </c>
      <c r="AS32" s="10">
        <v>5402.201</v>
      </c>
      <c r="AT32" s="10">
        <v>0</v>
      </c>
      <c r="AU32" s="10">
        <v>8998.929</v>
      </c>
      <c r="AV32" s="10">
        <v>316.068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2854.322</v>
      </c>
      <c r="BD32" s="10">
        <v>10.97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31946.354</v>
      </c>
      <c r="BL32" s="10">
        <v>2405.344</v>
      </c>
      <c r="BM32" s="10">
        <v>0</v>
      </c>
      <c r="BN32" s="10">
        <v>0</v>
      </c>
      <c r="BO32" s="10">
        <v>0</v>
      </c>
      <c r="BP32" s="10"/>
      <c r="BQ32" s="10"/>
      <c r="BR32" s="10"/>
      <c r="BS32" s="136">
        <f t="shared" si="0"/>
        <v>3123372.6539999996</v>
      </c>
      <c r="BT32" s="136">
        <f t="shared" si="1"/>
        <v>1177200.336</v>
      </c>
      <c r="BU32" s="136">
        <f t="shared" si="2"/>
        <v>1016216.681</v>
      </c>
      <c r="BV32" s="136">
        <f t="shared" si="3"/>
        <v>929955.637</v>
      </c>
      <c r="BW32" s="136">
        <f t="shared" si="4"/>
        <v>3123372.654</v>
      </c>
      <c r="BX32" s="136">
        <f t="shared" si="5"/>
        <v>0</v>
      </c>
      <c r="BY32" s="136"/>
      <c r="BZ32" s="136">
        <f t="shared" si="6"/>
        <v>3123372.654</v>
      </c>
    </row>
    <row r="33" spans="1:78" ht="12.75">
      <c r="A33" s="145" t="s">
        <v>475</v>
      </c>
      <c r="B33" s="10">
        <v>25337.488</v>
      </c>
      <c r="C33" s="10">
        <v>39064.608</v>
      </c>
      <c r="D33" s="10">
        <v>9789.988</v>
      </c>
      <c r="E33" s="10">
        <v>40728.154</v>
      </c>
      <c r="F33" s="10">
        <v>40965.62</v>
      </c>
      <c r="G33" s="10">
        <v>10076.84</v>
      </c>
      <c r="H33" s="10">
        <v>0</v>
      </c>
      <c r="I33" s="10">
        <v>670.183</v>
      </c>
      <c r="J33" s="10">
        <v>57510.968</v>
      </c>
      <c r="K33" s="10">
        <v>15568.987</v>
      </c>
      <c r="L33" s="10">
        <v>12126.247</v>
      </c>
      <c r="M33" s="10">
        <v>22894.995</v>
      </c>
      <c r="N33" s="10">
        <v>1400.388</v>
      </c>
      <c r="O33" s="10">
        <v>5769.357</v>
      </c>
      <c r="P33" s="10">
        <v>1097.692</v>
      </c>
      <c r="Q33" s="10">
        <v>376.199</v>
      </c>
      <c r="R33" s="10">
        <v>1294.104</v>
      </c>
      <c r="S33" s="10">
        <v>5108.86</v>
      </c>
      <c r="T33" s="10">
        <v>0</v>
      </c>
      <c r="U33" s="10">
        <v>0</v>
      </c>
      <c r="V33" s="10">
        <v>861.8</v>
      </c>
      <c r="W33" s="10">
        <v>170.883</v>
      </c>
      <c r="X33" s="10">
        <v>0</v>
      </c>
      <c r="Y33" s="10">
        <v>353.072</v>
      </c>
      <c r="Z33" s="10">
        <v>0</v>
      </c>
      <c r="AA33" s="10">
        <v>599.071</v>
      </c>
      <c r="AB33" s="10">
        <f>40745.157+200</f>
        <v>40945.157</v>
      </c>
      <c r="AC33" s="10">
        <v>0</v>
      </c>
      <c r="AD33" s="10">
        <v>0</v>
      </c>
      <c r="AE33" s="10">
        <v>0</v>
      </c>
      <c r="AF33" s="10">
        <v>800.668</v>
      </c>
      <c r="AG33" s="10">
        <v>2254.642</v>
      </c>
      <c r="AH33" s="10">
        <v>818.584</v>
      </c>
      <c r="AI33" s="10">
        <v>5</v>
      </c>
      <c r="AJ33" s="10">
        <v>0</v>
      </c>
      <c r="AK33" s="10">
        <v>0</v>
      </c>
      <c r="AL33" s="10">
        <v>5650.498</v>
      </c>
      <c r="AM33" s="10">
        <v>0</v>
      </c>
      <c r="AN33" s="10">
        <v>156.004</v>
      </c>
      <c r="AO33" s="10">
        <v>2901.329</v>
      </c>
      <c r="AP33" s="10">
        <v>1905.258</v>
      </c>
      <c r="AQ33" s="10">
        <v>4755.957</v>
      </c>
      <c r="AR33" s="10">
        <v>0</v>
      </c>
      <c r="AS33" s="10">
        <v>998.198</v>
      </c>
      <c r="AT33" s="10">
        <v>0</v>
      </c>
      <c r="AU33" s="10">
        <v>6349.596</v>
      </c>
      <c r="AV33" s="10">
        <v>0</v>
      </c>
      <c r="AW33" s="10">
        <v>215.691</v>
      </c>
      <c r="AX33" s="10">
        <v>0</v>
      </c>
      <c r="AY33" s="10">
        <v>0.87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48204.608</v>
      </c>
      <c r="BF33" s="10">
        <v>2125.038</v>
      </c>
      <c r="BG33" s="10">
        <v>0</v>
      </c>
      <c r="BH33" s="10">
        <v>0</v>
      </c>
      <c r="BI33" s="10">
        <v>4243.735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/>
      <c r="BQ33" s="10"/>
      <c r="BR33" s="10"/>
      <c r="BS33" s="136">
        <f t="shared" si="0"/>
        <v>414096.3369999999</v>
      </c>
      <c r="BT33" s="136">
        <f t="shared" si="1"/>
        <v>110619.833</v>
      </c>
      <c r="BU33" s="136">
        <f t="shared" si="2"/>
        <v>137785.53499999997</v>
      </c>
      <c r="BV33" s="136">
        <f t="shared" si="3"/>
        <v>160640.69599999994</v>
      </c>
      <c r="BW33" s="136">
        <f t="shared" si="4"/>
        <v>409046.0639999999</v>
      </c>
      <c r="BX33" s="136">
        <f t="shared" si="5"/>
        <v>5050.272999999999</v>
      </c>
      <c r="BY33" s="136"/>
      <c r="BZ33" s="136">
        <f t="shared" si="6"/>
        <v>414096.3369999999</v>
      </c>
    </row>
    <row r="34" spans="1:78" s="33" customFormat="1" ht="12.75">
      <c r="A34" s="143" t="s">
        <v>396</v>
      </c>
      <c r="B34" s="110">
        <f aca="true" t="shared" si="11" ref="B34:AG34">SUM(B32:B33)</f>
        <v>408337.488</v>
      </c>
      <c r="C34" s="110">
        <f t="shared" si="11"/>
        <v>259064.608</v>
      </c>
      <c r="D34" s="110">
        <f t="shared" si="11"/>
        <v>381226.742</v>
      </c>
      <c r="E34" s="110">
        <f t="shared" si="11"/>
        <v>281316.145</v>
      </c>
      <c r="F34" s="110">
        <f t="shared" si="11"/>
        <v>106629.786</v>
      </c>
      <c r="G34" s="110">
        <f t="shared" si="11"/>
        <v>82221.86099999999</v>
      </c>
      <c r="H34" s="110">
        <f t="shared" si="11"/>
        <v>9988.355</v>
      </c>
      <c r="I34" s="110">
        <f t="shared" si="11"/>
        <v>670.183</v>
      </c>
      <c r="J34" s="110">
        <f t="shared" si="11"/>
        <v>106942.455</v>
      </c>
      <c r="K34" s="110">
        <f t="shared" si="11"/>
        <v>116450.17199999999</v>
      </c>
      <c r="L34" s="110">
        <f t="shared" si="11"/>
        <v>111250.23300000001</v>
      </c>
      <c r="M34" s="110">
        <f t="shared" si="11"/>
        <v>35518.698</v>
      </c>
      <c r="N34" s="110">
        <f t="shared" si="11"/>
        <v>230295.62</v>
      </c>
      <c r="O34" s="110">
        <f t="shared" si="11"/>
        <v>47948.952999999994</v>
      </c>
      <c r="P34" s="110">
        <f t="shared" si="11"/>
        <v>67097.692</v>
      </c>
      <c r="Q34" s="110">
        <f t="shared" si="11"/>
        <v>65654.144</v>
      </c>
      <c r="R34" s="110">
        <f t="shared" si="11"/>
        <v>54926.904</v>
      </c>
      <c r="S34" s="110">
        <f t="shared" si="11"/>
        <v>48880.027</v>
      </c>
      <c r="T34" s="110">
        <f t="shared" si="11"/>
        <v>0</v>
      </c>
      <c r="U34" s="110">
        <f t="shared" si="11"/>
        <v>40483</v>
      </c>
      <c r="V34" s="110">
        <f t="shared" si="11"/>
        <v>30193.742</v>
      </c>
      <c r="W34" s="110">
        <f t="shared" si="11"/>
        <v>30780.104000000003</v>
      </c>
      <c r="X34" s="110">
        <f t="shared" si="11"/>
        <v>0</v>
      </c>
      <c r="Y34" s="110">
        <f t="shared" si="11"/>
        <v>353.072</v>
      </c>
      <c r="Z34" s="110">
        <f t="shared" si="11"/>
        <v>32000</v>
      </c>
      <c r="AA34" s="110">
        <f t="shared" si="11"/>
        <v>73206.351</v>
      </c>
      <c r="AB34" s="110">
        <f t="shared" si="11"/>
        <v>610101.346</v>
      </c>
      <c r="AC34" s="110">
        <f t="shared" si="11"/>
        <v>40741.191</v>
      </c>
      <c r="AD34" s="110">
        <f t="shared" si="11"/>
        <v>2382.869</v>
      </c>
      <c r="AE34" s="110">
        <f t="shared" si="11"/>
        <v>0</v>
      </c>
      <c r="AF34" s="110">
        <f t="shared" si="11"/>
        <v>800.668</v>
      </c>
      <c r="AG34" s="110">
        <f t="shared" si="11"/>
        <v>72500.225</v>
      </c>
      <c r="AH34" s="110">
        <f aca="true" t="shared" si="12" ref="AH34:BI34">SUM(AH32:AH33)</f>
        <v>3399.439</v>
      </c>
      <c r="AI34" s="110">
        <f t="shared" si="12"/>
        <v>5</v>
      </c>
      <c r="AJ34" s="110">
        <f t="shared" si="12"/>
        <v>10015.424</v>
      </c>
      <c r="AK34" s="110">
        <f t="shared" si="12"/>
        <v>4875.925</v>
      </c>
      <c r="AL34" s="110">
        <f t="shared" si="12"/>
        <v>14233.623</v>
      </c>
      <c r="AM34" s="110">
        <f t="shared" si="12"/>
        <v>0</v>
      </c>
      <c r="AN34" s="110">
        <f t="shared" si="12"/>
        <v>13132.428000000002</v>
      </c>
      <c r="AO34" s="110">
        <f t="shared" si="12"/>
        <v>21133.45</v>
      </c>
      <c r="AP34" s="110">
        <f t="shared" si="12"/>
        <v>1905.258</v>
      </c>
      <c r="AQ34" s="110">
        <f t="shared" si="12"/>
        <v>6733.886</v>
      </c>
      <c r="AR34" s="110">
        <f t="shared" si="12"/>
        <v>0</v>
      </c>
      <c r="AS34" s="110">
        <f t="shared" si="12"/>
        <v>6400.399</v>
      </c>
      <c r="AT34" s="110">
        <f t="shared" si="12"/>
        <v>0</v>
      </c>
      <c r="AU34" s="110">
        <f t="shared" si="12"/>
        <v>15348.525</v>
      </c>
      <c r="AV34" s="110">
        <f t="shared" si="12"/>
        <v>316.068</v>
      </c>
      <c r="AW34" s="110">
        <f t="shared" si="12"/>
        <v>215.691</v>
      </c>
      <c r="AX34" s="110">
        <f t="shared" si="12"/>
        <v>0</v>
      </c>
      <c r="AY34" s="110">
        <f t="shared" si="12"/>
        <v>0.87</v>
      </c>
      <c r="AZ34" s="110">
        <f t="shared" si="12"/>
        <v>0</v>
      </c>
      <c r="BA34" s="110">
        <f t="shared" si="12"/>
        <v>0</v>
      </c>
      <c r="BB34" s="110">
        <f t="shared" si="12"/>
        <v>0</v>
      </c>
      <c r="BC34" s="110">
        <f t="shared" si="12"/>
        <v>2854.322</v>
      </c>
      <c r="BD34" s="110">
        <f t="shared" si="12"/>
        <v>10.97</v>
      </c>
      <c r="BE34" s="110">
        <f t="shared" si="12"/>
        <v>48204.608</v>
      </c>
      <c r="BF34" s="110">
        <f t="shared" si="12"/>
        <v>2125.038</v>
      </c>
      <c r="BG34" s="110">
        <f t="shared" si="12"/>
        <v>0</v>
      </c>
      <c r="BH34" s="110">
        <f t="shared" si="12"/>
        <v>0</v>
      </c>
      <c r="BI34" s="110">
        <f t="shared" si="12"/>
        <v>4243.735</v>
      </c>
      <c r="BJ34" s="110">
        <f>SUM(BJ32:BJ32)</f>
        <v>0</v>
      </c>
      <c r="BK34" s="110">
        <f>SUM(BK32:BK33)</f>
        <v>31946.354</v>
      </c>
      <c r="BL34" s="110">
        <f>SUM(BL32:BL33)</f>
        <v>2405.344</v>
      </c>
      <c r="BM34" s="110">
        <f>SUM(BM32:BM33)</f>
        <v>0</v>
      </c>
      <c r="BN34" s="110">
        <f>SUM(BN32:BN33)</f>
        <v>0</v>
      </c>
      <c r="BO34" s="110">
        <f>SUM(BO32:BO33)</f>
        <v>0</v>
      </c>
      <c r="BP34" s="110"/>
      <c r="BQ34" s="110"/>
      <c r="BR34" s="110"/>
      <c r="BS34" s="136">
        <f t="shared" si="0"/>
        <v>3537468.991000001</v>
      </c>
      <c r="BT34" s="136">
        <f t="shared" si="1"/>
        <v>1287820.169</v>
      </c>
      <c r="BU34" s="136">
        <f t="shared" si="2"/>
        <v>1154002.2159999998</v>
      </c>
      <c r="BV34" s="136">
        <f t="shared" si="3"/>
        <v>1090596.333</v>
      </c>
      <c r="BW34" s="136">
        <f t="shared" si="4"/>
        <v>3532418.718</v>
      </c>
      <c r="BX34" s="136">
        <f t="shared" si="5"/>
        <v>5050.272999999999</v>
      </c>
      <c r="BY34" s="110"/>
      <c r="BZ34" s="136">
        <f t="shared" si="6"/>
        <v>3537468.991</v>
      </c>
    </row>
    <row r="35" spans="1:78" ht="7.5" customHeight="1">
      <c r="A35" s="14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36"/>
      <c r="BT35" s="136"/>
      <c r="BU35" s="136"/>
      <c r="BV35" s="136"/>
      <c r="BW35" s="136"/>
      <c r="BX35" s="136"/>
      <c r="BY35" s="136"/>
      <c r="BZ35" s="136"/>
    </row>
    <row r="36" spans="1:78" ht="12.75">
      <c r="A36" s="142" t="s">
        <v>476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36"/>
      <c r="BT36" s="136"/>
      <c r="BU36" s="136"/>
      <c r="BV36" s="136"/>
      <c r="BW36" s="136"/>
      <c r="BX36" s="136"/>
      <c r="BY36" s="136"/>
      <c r="BZ36" s="136"/>
    </row>
    <row r="37" spans="1:78" ht="12.75">
      <c r="A37" s="147" t="s">
        <v>477</v>
      </c>
      <c r="B37" s="10">
        <v>64105.515</v>
      </c>
      <c r="C37" s="10">
        <v>10240.237</v>
      </c>
      <c r="D37" s="10">
        <v>6061.766</v>
      </c>
      <c r="E37" s="10">
        <v>3970.227</v>
      </c>
      <c r="F37" s="10">
        <v>22877.139</v>
      </c>
      <c r="G37" s="10">
        <v>5713.234</v>
      </c>
      <c r="H37" s="10">
        <v>1066.472</v>
      </c>
      <c r="I37" s="10">
        <v>961.768</v>
      </c>
      <c r="J37" s="10">
        <v>16814.802</v>
      </c>
      <c r="K37" s="10">
        <v>0</v>
      </c>
      <c r="L37" s="10">
        <v>6741.492</v>
      </c>
      <c r="M37" s="10">
        <v>0</v>
      </c>
      <c r="N37" s="10">
        <v>1327.374</v>
      </c>
      <c r="O37" s="10">
        <v>873.48</v>
      </c>
      <c r="P37" s="10">
        <v>1647.899</v>
      </c>
      <c r="Q37" s="10">
        <v>4554.236</v>
      </c>
      <c r="R37" s="10">
        <v>2744.185</v>
      </c>
      <c r="S37" s="10">
        <v>0</v>
      </c>
      <c r="T37" s="10">
        <v>0</v>
      </c>
      <c r="U37" s="10">
        <v>0</v>
      </c>
      <c r="V37" s="10">
        <v>0</v>
      </c>
      <c r="W37" s="10">
        <v>1347.059</v>
      </c>
      <c r="X37" s="10">
        <v>0</v>
      </c>
      <c r="Y37" s="10">
        <v>0</v>
      </c>
      <c r="Z37" s="10">
        <v>648.638</v>
      </c>
      <c r="AA37" s="10">
        <v>6061.766</v>
      </c>
      <c r="AB37" s="10">
        <v>0</v>
      </c>
      <c r="AC37" s="10">
        <v>3011.611</v>
      </c>
      <c r="AD37" s="10">
        <v>0</v>
      </c>
      <c r="AE37" s="10">
        <v>0</v>
      </c>
      <c r="AF37" s="10">
        <v>0</v>
      </c>
      <c r="AG37" s="10">
        <v>0</v>
      </c>
      <c r="AH37" s="10">
        <v>1609.779</v>
      </c>
      <c r="AI37" s="10">
        <v>0</v>
      </c>
      <c r="AJ37" s="10">
        <v>0</v>
      </c>
      <c r="AK37" s="10">
        <v>0</v>
      </c>
      <c r="AL37" s="10">
        <v>1430.305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576.055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v>200.617</v>
      </c>
      <c r="BG37" s="10">
        <v>0</v>
      </c>
      <c r="BH37" s="10">
        <v>0</v>
      </c>
      <c r="BI37" s="10">
        <v>0</v>
      </c>
      <c r="BJ37" s="10">
        <v>0</v>
      </c>
      <c r="BK37" s="10">
        <v>1488.725</v>
      </c>
      <c r="BL37" s="10">
        <v>0</v>
      </c>
      <c r="BM37" s="10">
        <v>0</v>
      </c>
      <c r="BN37" s="10">
        <v>0</v>
      </c>
      <c r="BO37" s="10">
        <v>0</v>
      </c>
      <c r="BP37" s="10"/>
      <c r="BQ37" s="10"/>
      <c r="BR37" s="10"/>
      <c r="BS37" s="136">
        <f t="shared" si="0"/>
        <v>166074.38100000002</v>
      </c>
      <c r="BT37" s="136">
        <f t="shared" si="1"/>
        <v>14959.316</v>
      </c>
      <c r="BU37" s="136">
        <f t="shared" si="2"/>
        <v>55756.609</v>
      </c>
      <c r="BV37" s="136">
        <f t="shared" si="3"/>
        <v>95358.45599999998</v>
      </c>
      <c r="BW37" s="136">
        <f t="shared" si="4"/>
        <v>166074.381</v>
      </c>
      <c r="BX37" s="136">
        <f t="shared" si="5"/>
        <v>0</v>
      </c>
      <c r="BY37" s="136"/>
      <c r="BZ37" s="136">
        <f t="shared" si="6"/>
        <v>166074.381</v>
      </c>
    </row>
    <row r="38" spans="1:78" ht="12.75">
      <c r="A38" s="147" t="s">
        <v>478</v>
      </c>
      <c r="B38" s="10">
        <v>548309.433</v>
      </c>
      <c r="C38" s="10">
        <v>231457.696</v>
      </c>
      <c r="D38" s="10">
        <v>1182259.651</v>
      </c>
      <c r="E38" s="10">
        <v>465242.296</v>
      </c>
      <c r="F38" s="10">
        <v>191109.136</v>
      </c>
      <c r="G38" s="10">
        <v>98823.497</v>
      </c>
      <c r="H38" s="10">
        <v>50454.201</v>
      </c>
      <c r="I38" s="10">
        <v>1145292.127</v>
      </c>
      <c r="J38" s="10">
        <v>96035.2</v>
      </c>
      <c r="K38" s="10">
        <v>81272.257</v>
      </c>
      <c r="L38" s="10">
        <v>64828.034</v>
      </c>
      <c r="M38" s="10">
        <v>54967.895</v>
      </c>
      <c r="N38" s="10">
        <v>4648.818</v>
      </c>
      <c r="O38" s="10">
        <v>136198.941</v>
      </c>
      <c r="P38" s="10">
        <v>66759.728</v>
      </c>
      <c r="Q38" s="10">
        <v>11528.266</v>
      </c>
      <c r="R38" s="10">
        <v>253144.34</v>
      </c>
      <c r="S38" s="10">
        <v>228004.128</v>
      </c>
      <c r="T38" s="10">
        <v>93022.386</v>
      </c>
      <c r="U38" s="10">
        <v>37256.477</v>
      </c>
      <c r="V38" s="10">
        <v>133242.692</v>
      </c>
      <c r="W38" s="10">
        <v>39600.987</v>
      </c>
      <c r="X38" s="10">
        <v>3696.088</v>
      </c>
      <c r="Y38" s="10">
        <v>18446.397</v>
      </c>
      <c r="Z38" s="10">
        <v>19021.458</v>
      </c>
      <c r="AA38" s="10">
        <v>145129.502</v>
      </c>
      <c r="AB38" s="10"/>
      <c r="AC38" s="10">
        <v>597180.845</v>
      </c>
      <c r="AD38" s="10">
        <v>21327.903</v>
      </c>
      <c r="AE38" s="10">
        <v>21151.078</v>
      </c>
      <c r="AF38" s="10">
        <v>78029.369</v>
      </c>
      <c r="AG38" s="10">
        <v>35951.203</v>
      </c>
      <c r="AH38" s="10">
        <v>10484.07</v>
      </c>
      <c r="AI38" s="10">
        <v>12281</v>
      </c>
      <c r="AJ38" s="10">
        <v>3469.068</v>
      </c>
      <c r="AK38" s="10">
        <v>32556.392</v>
      </c>
      <c r="AL38" s="10">
        <v>161413.967</v>
      </c>
      <c r="AM38" s="10">
        <v>12613.4</v>
      </c>
      <c r="AN38" s="10">
        <v>11525.178</v>
      </c>
      <c r="AO38" s="10">
        <v>94276.967</v>
      </c>
      <c r="AP38" s="10">
        <v>2993.084</v>
      </c>
      <c r="AQ38" s="10">
        <f>12004.157+11.977</f>
        <v>12016.134</v>
      </c>
      <c r="AR38" s="10">
        <v>1681.894</v>
      </c>
      <c r="AS38" s="10">
        <v>6711.81</v>
      </c>
      <c r="AT38" s="10">
        <v>540.967</v>
      </c>
      <c r="AU38" s="10">
        <v>14740.2</v>
      </c>
      <c r="AV38" s="10">
        <v>1239.347</v>
      </c>
      <c r="AW38" s="10">
        <v>1047.721</v>
      </c>
      <c r="AX38" s="10">
        <v>1429.025</v>
      </c>
      <c r="AY38" s="10">
        <v>26390.722</v>
      </c>
      <c r="AZ38" s="10">
        <v>801.369</v>
      </c>
      <c r="BA38" s="10">
        <v>629.213</v>
      </c>
      <c r="BB38" s="10">
        <v>11459.084</v>
      </c>
      <c r="BC38" s="10">
        <v>50793.773</v>
      </c>
      <c r="BD38" s="10">
        <v>29103.701</v>
      </c>
      <c r="BE38" s="10">
        <v>50191.375</v>
      </c>
      <c r="BF38" s="10">
        <v>4291.818</v>
      </c>
      <c r="BG38" s="10">
        <v>40693.966</v>
      </c>
      <c r="BH38" s="10">
        <v>993.219</v>
      </c>
      <c r="BI38" s="10">
        <v>2941.022</v>
      </c>
      <c r="BJ38" s="10">
        <v>55031.996</v>
      </c>
      <c r="BK38" s="10">
        <v>6743.89</v>
      </c>
      <c r="BL38" s="10">
        <v>0</v>
      </c>
      <c r="BM38" s="10">
        <v>335.711</v>
      </c>
      <c r="BN38" s="10">
        <v>23680.014</v>
      </c>
      <c r="BO38" s="10">
        <v>6062.525</v>
      </c>
      <c r="BP38" s="10"/>
      <c r="BQ38" s="10"/>
      <c r="BR38" s="10"/>
      <c r="BS38" s="136">
        <f t="shared" si="0"/>
        <v>6844555.651</v>
      </c>
      <c r="BT38" s="136">
        <f t="shared" si="1"/>
        <v>1800637.9190000002</v>
      </c>
      <c r="BU38" s="136">
        <f t="shared" si="2"/>
        <v>1206163.5769999998</v>
      </c>
      <c r="BV38" s="136">
        <f t="shared" si="3"/>
        <v>3617548.2749999985</v>
      </c>
      <c r="BW38" s="136">
        <f t="shared" si="4"/>
        <v>6624349.770999999</v>
      </c>
      <c r="BX38" s="136">
        <f t="shared" si="5"/>
        <v>220205.88</v>
      </c>
      <c r="BY38" s="136"/>
      <c r="BZ38" s="136">
        <f t="shared" si="6"/>
        <v>6844555.650999999</v>
      </c>
    </row>
    <row r="39" spans="1:78" ht="12.75">
      <c r="A39" s="147" t="s">
        <v>479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31519.311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30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220.509</v>
      </c>
      <c r="BE39" s="10">
        <v>0</v>
      </c>
      <c r="BF39" s="10">
        <v>0</v>
      </c>
      <c r="BG39" s="10"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/>
      <c r="BQ39" s="10"/>
      <c r="BR39" s="10"/>
      <c r="BS39" s="136">
        <f t="shared" si="0"/>
        <v>31769.82</v>
      </c>
      <c r="BT39" s="136">
        <f t="shared" si="1"/>
        <v>220.509</v>
      </c>
      <c r="BU39" s="136">
        <f t="shared" si="2"/>
        <v>31519.311</v>
      </c>
      <c r="BV39" s="136">
        <f t="shared" si="3"/>
        <v>0</v>
      </c>
      <c r="BW39" s="136">
        <f t="shared" si="4"/>
        <v>31739.82</v>
      </c>
      <c r="BX39" s="136">
        <f t="shared" si="5"/>
        <v>30</v>
      </c>
      <c r="BY39" s="136"/>
      <c r="BZ39" s="136">
        <f t="shared" si="6"/>
        <v>31769.82</v>
      </c>
    </row>
    <row r="40" spans="1:78" s="33" customFormat="1" ht="12.75">
      <c r="A40" s="143" t="s">
        <v>397</v>
      </c>
      <c r="B40" s="110">
        <f aca="true" t="shared" si="13" ref="B40:AG40">SUM(B37:B39)</f>
        <v>612414.948</v>
      </c>
      <c r="C40" s="110">
        <f t="shared" si="13"/>
        <v>241697.933</v>
      </c>
      <c r="D40" s="110">
        <f t="shared" si="13"/>
        <v>1188321.4170000001</v>
      </c>
      <c r="E40" s="110">
        <f t="shared" si="13"/>
        <v>469212.523</v>
      </c>
      <c r="F40" s="110">
        <f t="shared" si="13"/>
        <v>213986.275</v>
      </c>
      <c r="G40" s="110">
        <f t="shared" si="13"/>
        <v>104536.731</v>
      </c>
      <c r="H40" s="110">
        <f t="shared" si="13"/>
        <v>51520.673</v>
      </c>
      <c r="I40" s="110">
        <f t="shared" si="13"/>
        <v>1146253.895</v>
      </c>
      <c r="J40" s="110">
        <f t="shared" si="13"/>
        <v>112850.002</v>
      </c>
      <c r="K40" s="110">
        <f t="shared" si="13"/>
        <v>81272.257</v>
      </c>
      <c r="L40" s="110">
        <f t="shared" si="13"/>
        <v>71569.526</v>
      </c>
      <c r="M40" s="110">
        <f t="shared" si="13"/>
        <v>54967.895</v>
      </c>
      <c r="N40" s="110">
        <f t="shared" si="13"/>
        <v>5976.192</v>
      </c>
      <c r="O40" s="110">
        <f t="shared" si="13"/>
        <v>137072.421</v>
      </c>
      <c r="P40" s="110">
        <f t="shared" si="13"/>
        <v>68407.62700000001</v>
      </c>
      <c r="Q40" s="110">
        <f t="shared" si="13"/>
        <v>16082.502</v>
      </c>
      <c r="R40" s="110">
        <f t="shared" si="13"/>
        <v>255888.525</v>
      </c>
      <c r="S40" s="110">
        <f t="shared" si="13"/>
        <v>259523.439</v>
      </c>
      <c r="T40" s="110">
        <f t="shared" si="13"/>
        <v>93022.386</v>
      </c>
      <c r="U40" s="110">
        <f t="shared" si="13"/>
        <v>37256.477</v>
      </c>
      <c r="V40" s="110">
        <f t="shared" si="13"/>
        <v>133242.692</v>
      </c>
      <c r="W40" s="110">
        <f t="shared" si="13"/>
        <v>40948.046</v>
      </c>
      <c r="X40" s="110">
        <f t="shared" si="13"/>
        <v>3696.088</v>
      </c>
      <c r="Y40" s="110">
        <f t="shared" si="13"/>
        <v>18446.397</v>
      </c>
      <c r="Z40" s="110">
        <f t="shared" si="13"/>
        <v>19670.095999999998</v>
      </c>
      <c r="AA40" s="110">
        <f t="shared" si="13"/>
        <v>151191.268</v>
      </c>
      <c r="AB40" s="110">
        <f t="shared" si="13"/>
        <v>0</v>
      </c>
      <c r="AC40" s="110">
        <f t="shared" si="13"/>
        <v>600192.456</v>
      </c>
      <c r="AD40" s="110">
        <f t="shared" si="13"/>
        <v>21327.903</v>
      </c>
      <c r="AE40" s="110">
        <f t="shared" si="13"/>
        <v>21151.078</v>
      </c>
      <c r="AF40" s="110">
        <f t="shared" si="13"/>
        <v>78029.369</v>
      </c>
      <c r="AG40" s="110">
        <f t="shared" si="13"/>
        <v>35951.203</v>
      </c>
      <c r="AH40" s="110">
        <f aca="true" t="shared" si="14" ref="AH40:BL40">SUM(AH37:AH39)</f>
        <v>12093.849</v>
      </c>
      <c r="AI40" s="110">
        <f t="shared" si="14"/>
        <v>12281</v>
      </c>
      <c r="AJ40" s="110">
        <f t="shared" si="14"/>
        <v>3469.068</v>
      </c>
      <c r="AK40" s="110">
        <f t="shared" si="14"/>
        <v>32556.392</v>
      </c>
      <c r="AL40" s="110">
        <f t="shared" si="14"/>
        <v>162844.272</v>
      </c>
      <c r="AM40" s="110">
        <f t="shared" si="14"/>
        <v>12613.4</v>
      </c>
      <c r="AN40" s="110">
        <f t="shared" si="14"/>
        <v>11525.178</v>
      </c>
      <c r="AO40" s="110">
        <f t="shared" si="14"/>
        <v>94276.967</v>
      </c>
      <c r="AP40" s="110">
        <f t="shared" si="14"/>
        <v>2993.084</v>
      </c>
      <c r="AQ40" s="110">
        <f t="shared" si="14"/>
        <v>12016.134</v>
      </c>
      <c r="AR40" s="110">
        <f t="shared" si="14"/>
        <v>1681.894</v>
      </c>
      <c r="AS40" s="110">
        <f t="shared" si="14"/>
        <v>6711.81</v>
      </c>
      <c r="AT40" s="110">
        <f t="shared" si="14"/>
        <v>570.967</v>
      </c>
      <c r="AU40" s="110">
        <f t="shared" si="14"/>
        <v>15316.255000000001</v>
      </c>
      <c r="AV40" s="110">
        <f t="shared" si="14"/>
        <v>1239.347</v>
      </c>
      <c r="AW40" s="110">
        <f t="shared" si="14"/>
        <v>1047.721</v>
      </c>
      <c r="AX40" s="110">
        <f t="shared" si="14"/>
        <v>1429.025</v>
      </c>
      <c r="AY40" s="110">
        <f t="shared" si="14"/>
        <v>26390.722</v>
      </c>
      <c r="AZ40" s="110">
        <f t="shared" si="14"/>
        <v>801.369</v>
      </c>
      <c r="BA40" s="110">
        <f t="shared" si="14"/>
        <v>629.213</v>
      </c>
      <c r="BB40" s="110">
        <f t="shared" si="14"/>
        <v>11459.084</v>
      </c>
      <c r="BC40" s="110">
        <f t="shared" si="14"/>
        <v>50793.773</v>
      </c>
      <c r="BD40" s="110">
        <f t="shared" si="14"/>
        <v>29324.21</v>
      </c>
      <c r="BE40" s="110">
        <f t="shared" si="14"/>
        <v>50191.375</v>
      </c>
      <c r="BF40" s="110">
        <f t="shared" si="14"/>
        <v>4492.435</v>
      </c>
      <c r="BG40" s="110">
        <f t="shared" si="14"/>
        <v>40693.966</v>
      </c>
      <c r="BH40" s="110">
        <f t="shared" si="14"/>
        <v>993.219</v>
      </c>
      <c r="BI40" s="110">
        <f t="shared" si="14"/>
        <v>2941.022</v>
      </c>
      <c r="BJ40" s="110">
        <f t="shared" si="14"/>
        <v>55031.996</v>
      </c>
      <c r="BK40" s="110">
        <f t="shared" si="14"/>
        <v>8232.615</v>
      </c>
      <c r="BL40" s="110">
        <f t="shared" si="14"/>
        <v>0</v>
      </c>
      <c r="BM40" s="110">
        <f>SUM(BM37:BM39)</f>
        <v>335.711</v>
      </c>
      <c r="BN40" s="110">
        <f>SUM(BN37:BN39)</f>
        <v>23680.014</v>
      </c>
      <c r="BO40" s="110">
        <f>SUM(BO37:BO39)</f>
        <v>6062.525</v>
      </c>
      <c r="BP40" s="110"/>
      <c r="BQ40" s="110"/>
      <c r="BR40" s="110"/>
      <c r="BS40" s="136">
        <f t="shared" si="0"/>
        <v>7042399.852000002</v>
      </c>
      <c r="BT40" s="136">
        <f t="shared" si="1"/>
        <v>1815817.7440000002</v>
      </c>
      <c r="BU40" s="136">
        <f t="shared" si="2"/>
        <v>1293439.4969999995</v>
      </c>
      <c r="BV40" s="136">
        <f t="shared" si="3"/>
        <v>3712906.7309999983</v>
      </c>
      <c r="BW40" s="136">
        <f t="shared" si="4"/>
        <v>6822163.971999997</v>
      </c>
      <c r="BX40" s="136">
        <f t="shared" si="5"/>
        <v>220235.88</v>
      </c>
      <c r="BY40" s="110"/>
      <c r="BZ40" s="136">
        <f t="shared" si="6"/>
        <v>7042399.851999997</v>
      </c>
    </row>
    <row r="41" spans="1:78" ht="7.5" customHeight="1">
      <c r="A41" s="14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36"/>
      <c r="BT41" s="136"/>
      <c r="BU41" s="136"/>
      <c r="BV41" s="136"/>
      <c r="BW41" s="136"/>
      <c r="BX41" s="136"/>
      <c r="BY41" s="136"/>
      <c r="BZ41" s="136"/>
    </row>
    <row r="42" spans="1:78" ht="12.75">
      <c r="A42" s="147" t="s">
        <v>463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1090.564</v>
      </c>
      <c r="BL42" s="10">
        <v>0</v>
      </c>
      <c r="BM42" s="10">
        <v>0</v>
      </c>
      <c r="BN42" s="10">
        <v>0</v>
      </c>
      <c r="BO42" s="10">
        <v>0</v>
      </c>
      <c r="BP42" s="10"/>
      <c r="BQ42" s="10"/>
      <c r="BR42" s="10"/>
      <c r="BS42" s="136">
        <f t="shared" si="0"/>
        <v>1090.564</v>
      </c>
      <c r="BT42" s="136">
        <f t="shared" si="1"/>
        <v>1090.564</v>
      </c>
      <c r="BU42" s="136">
        <f t="shared" si="2"/>
        <v>0</v>
      </c>
      <c r="BV42" s="136">
        <f t="shared" si="3"/>
        <v>0</v>
      </c>
      <c r="BW42" s="136">
        <f t="shared" si="4"/>
        <v>1090.564</v>
      </c>
      <c r="BX42" s="136">
        <f t="shared" si="5"/>
        <v>0</v>
      </c>
      <c r="BY42" s="136"/>
      <c r="BZ42" s="136">
        <f t="shared" si="6"/>
        <v>1090.564</v>
      </c>
    </row>
    <row r="43" spans="1:78" ht="12.75">
      <c r="A43" s="14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36"/>
      <c r="BT43" s="136"/>
      <c r="BU43" s="136"/>
      <c r="BV43" s="136"/>
      <c r="BW43" s="136"/>
      <c r="BX43" s="136"/>
      <c r="BY43" s="136"/>
      <c r="BZ43" s="136"/>
    </row>
    <row r="44" spans="1:78" s="33" customFormat="1" ht="13.5">
      <c r="A44" s="150" t="s">
        <v>430</v>
      </c>
      <c r="B44" s="110">
        <f aca="true" t="shared" si="15" ref="B44:AG44">B42+B40+B34+B29+B20+B17</f>
        <v>60934619.63799999</v>
      </c>
      <c r="C44" s="110">
        <f t="shared" si="15"/>
        <v>37030389.797000006</v>
      </c>
      <c r="D44" s="110">
        <f t="shared" si="15"/>
        <v>36663346.103</v>
      </c>
      <c r="E44" s="110">
        <f t="shared" si="15"/>
        <v>32170922.465000004</v>
      </c>
      <c r="F44" s="110">
        <f t="shared" si="15"/>
        <v>30852400.740000006</v>
      </c>
      <c r="G44" s="110">
        <f t="shared" si="15"/>
        <v>14831105.596000003</v>
      </c>
      <c r="H44" s="110">
        <f t="shared" si="15"/>
        <v>14660015.675000003</v>
      </c>
      <c r="I44" s="110">
        <f t="shared" si="15"/>
        <v>14246555.289</v>
      </c>
      <c r="J44" s="110">
        <f t="shared" si="15"/>
        <v>12076141.866</v>
      </c>
      <c r="K44" s="110">
        <f t="shared" si="15"/>
        <v>11379300.148</v>
      </c>
      <c r="L44" s="110">
        <f t="shared" si="15"/>
        <v>11330066.623</v>
      </c>
      <c r="M44" s="110">
        <f t="shared" si="15"/>
        <v>9915207.707</v>
      </c>
      <c r="N44" s="110">
        <f t="shared" si="15"/>
        <v>9943439.091000002</v>
      </c>
      <c r="O44" s="110">
        <f t="shared" si="15"/>
        <v>8942160.808</v>
      </c>
      <c r="P44" s="110">
        <f t="shared" si="15"/>
        <v>8227564.022999999</v>
      </c>
      <c r="Q44" s="110">
        <f t="shared" si="15"/>
        <v>7751463.655</v>
      </c>
      <c r="R44" s="110">
        <f t="shared" si="15"/>
        <v>7452913.118999999</v>
      </c>
      <c r="S44" s="110">
        <f t="shared" si="15"/>
        <v>5484034.577</v>
      </c>
      <c r="T44" s="110">
        <f t="shared" si="15"/>
        <v>5439051.638</v>
      </c>
      <c r="U44" s="110">
        <f t="shared" si="15"/>
        <v>5380107.606000001</v>
      </c>
      <c r="V44" s="110">
        <f t="shared" si="15"/>
        <v>5298845.5</v>
      </c>
      <c r="W44" s="110">
        <f t="shared" si="15"/>
        <v>4700192.823000001</v>
      </c>
      <c r="X44" s="110">
        <f t="shared" si="15"/>
        <v>4418096.886000001</v>
      </c>
      <c r="Y44" s="110">
        <f t="shared" si="15"/>
        <v>4085814.786</v>
      </c>
      <c r="Z44" s="110">
        <f t="shared" si="15"/>
        <v>3921718.4329999997</v>
      </c>
      <c r="AA44" s="110">
        <f t="shared" si="15"/>
        <v>3468265.079</v>
      </c>
      <c r="AB44" s="110">
        <f t="shared" si="15"/>
        <v>2688130.094</v>
      </c>
      <c r="AC44" s="110">
        <f t="shared" si="15"/>
        <v>2626303.382</v>
      </c>
      <c r="AD44" s="110">
        <f t="shared" si="15"/>
        <v>2502243.959</v>
      </c>
      <c r="AE44" s="110">
        <f t="shared" si="15"/>
        <v>2336810.5400000005</v>
      </c>
      <c r="AF44" s="110">
        <f t="shared" si="15"/>
        <v>2317867.815</v>
      </c>
      <c r="AG44" s="110">
        <f t="shared" si="15"/>
        <v>2247105.389</v>
      </c>
      <c r="AH44" s="110">
        <f aca="true" t="shared" si="16" ref="AH44:BO44">AH42+AH40+AH34+AH29+AH20+AH17</f>
        <v>2161732.563</v>
      </c>
      <c r="AI44" s="110">
        <f t="shared" si="16"/>
        <v>2014597</v>
      </c>
      <c r="AJ44" s="110">
        <f t="shared" si="16"/>
        <v>1695187.81</v>
      </c>
      <c r="AK44" s="110">
        <f t="shared" si="16"/>
        <v>1683730.152</v>
      </c>
      <c r="AL44" s="110">
        <f t="shared" si="16"/>
        <v>1417601.364</v>
      </c>
      <c r="AM44" s="110">
        <f t="shared" si="16"/>
        <v>1395118.498</v>
      </c>
      <c r="AN44" s="110">
        <f t="shared" si="16"/>
        <v>1309344.555</v>
      </c>
      <c r="AO44" s="110">
        <f t="shared" si="16"/>
        <v>1083974.2259999998</v>
      </c>
      <c r="AP44" s="110">
        <f t="shared" si="16"/>
        <v>1059315.1469999999</v>
      </c>
      <c r="AQ44" s="110">
        <f t="shared" si="16"/>
        <v>954109.638</v>
      </c>
      <c r="AR44" s="110">
        <f t="shared" si="16"/>
        <v>870713.309</v>
      </c>
      <c r="AS44" s="110">
        <f t="shared" si="16"/>
        <v>853427.3439999999</v>
      </c>
      <c r="AT44" s="110">
        <f t="shared" si="16"/>
        <v>843351.9249999999</v>
      </c>
      <c r="AU44" s="110">
        <f t="shared" si="16"/>
        <v>825193.662</v>
      </c>
      <c r="AV44" s="110">
        <f t="shared" si="16"/>
        <v>653462.7590000001</v>
      </c>
      <c r="AW44" s="110">
        <f t="shared" si="16"/>
        <v>632094.6610000001</v>
      </c>
      <c r="AX44" s="110">
        <f t="shared" si="16"/>
        <v>536166.875</v>
      </c>
      <c r="AY44" s="110">
        <f t="shared" si="16"/>
        <v>444744.18400000007</v>
      </c>
      <c r="AZ44" s="110">
        <f t="shared" si="16"/>
        <v>433461.989</v>
      </c>
      <c r="BA44" s="110">
        <f t="shared" si="16"/>
        <v>419949.13699999993</v>
      </c>
      <c r="BB44" s="110">
        <f t="shared" si="16"/>
        <v>391511.83499999996</v>
      </c>
      <c r="BC44" s="110">
        <f t="shared" si="16"/>
        <v>381285.81999999995</v>
      </c>
      <c r="BD44" s="110">
        <f t="shared" si="16"/>
        <v>247946.478</v>
      </c>
      <c r="BE44" s="110">
        <f t="shared" si="16"/>
        <v>201857.63400000002</v>
      </c>
      <c r="BF44" s="110">
        <f t="shared" si="16"/>
        <v>163463.517</v>
      </c>
      <c r="BG44" s="110">
        <f t="shared" si="16"/>
        <v>153041.67700000003</v>
      </c>
      <c r="BH44" s="110">
        <f t="shared" si="16"/>
        <v>132436.27300000002</v>
      </c>
      <c r="BI44" s="110">
        <f t="shared" si="16"/>
        <v>105034.618</v>
      </c>
      <c r="BJ44" s="110">
        <f t="shared" si="16"/>
        <v>104214.201</v>
      </c>
      <c r="BK44" s="110">
        <f t="shared" si="16"/>
        <v>58353.57699999999</v>
      </c>
      <c r="BL44" s="110">
        <f t="shared" si="16"/>
        <v>37913.387</v>
      </c>
      <c r="BM44" s="110">
        <f t="shared" si="16"/>
        <v>10939.391</v>
      </c>
      <c r="BN44" s="110">
        <f t="shared" si="16"/>
        <v>37214.968</v>
      </c>
      <c r="BO44" s="110">
        <f t="shared" si="16"/>
        <v>6062.525</v>
      </c>
      <c r="BP44" s="110"/>
      <c r="BQ44" s="110"/>
      <c r="BR44" s="110"/>
      <c r="BS44" s="136">
        <f t="shared" si="0"/>
        <v>408640753.5490003</v>
      </c>
      <c r="BT44" s="136">
        <f t="shared" si="1"/>
        <v>56876714.261999995</v>
      </c>
      <c r="BU44" s="136">
        <f t="shared" si="2"/>
        <v>144678007.86100003</v>
      </c>
      <c r="BV44" s="136">
        <f t="shared" si="3"/>
        <v>190080188.64099997</v>
      </c>
      <c r="BW44" s="136">
        <f t="shared" si="4"/>
        <v>391634910.764</v>
      </c>
      <c r="BX44" s="136">
        <f t="shared" si="5"/>
        <v>17005842.785</v>
      </c>
      <c r="BY44" s="136"/>
      <c r="BZ44" s="136">
        <f t="shared" si="6"/>
        <v>408640753.549</v>
      </c>
    </row>
    <row r="45" spans="1:78" ht="12.75">
      <c r="A45" s="145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36"/>
      <c r="BT45" s="136"/>
      <c r="BU45" s="136"/>
      <c r="BV45" s="136"/>
      <c r="BW45" s="136"/>
      <c r="BX45" s="136"/>
      <c r="BY45" s="136"/>
      <c r="BZ45" s="136"/>
    </row>
    <row r="46" spans="1:78" ht="12.75">
      <c r="A46" s="148" t="s">
        <v>394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36"/>
      <c r="BT46" s="136"/>
      <c r="BU46" s="136"/>
      <c r="BV46" s="136"/>
      <c r="BW46" s="136"/>
      <c r="BX46" s="136"/>
      <c r="BY46" s="136"/>
      <c r="BZ46" s="136"/>
    </row>
    <row r="47" spans="1:78" ht="12.75">
      <c r="A47" s="145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36"/>
      <c r="BT47" s="136"/>
      <c r="BU47" s="136"/>
      <c r="BV47" s="136"/>
      <c r="BW47" s="136"/>
      <c r="BX47" s="136"/>
      <c r="BY47" s="136"/>
      <c r="BZ47" s="136"/>
    </row>
    <row r="48" spans="1:78" ht="12.75">
      <c r="A48" s="139" t="s">
        <v>480</v>
      </c>
      <c r="B48" s="10">
        <v>0</v>
      </c>
      <c r="C48" s="10">
        <v>0</v>
      </c>
      <c r="D48" s="10">
        <v>2750.947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4363.14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710.202</v>
      </c>
      <c r="W48" s="10">
        <v>314.87</v>
      </c>
      <c r="X48" s="10">
        <v>0</v>
      </c>
      <c r="Y48" s="10">
        <v>0</v>
      </c>
      <c r="Z48" s="10">
        <v>0</v>
      </c>
      <c r="AA48" s="10">
        <v>462.927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54154.703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8831.637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0">
        <v>35.157</v>
      </c>
      <c r="BO48" s="10">
        <v>6.08</v>
      </c>
      <c r="BP48" s="10"/>
      <c r="BQ48" s="10"/>
      <c r="BR48" s="10"/>
      <c r="BS48" s="136">
        <f t="shared" si="0"/>
        <v>71629.66300000002</v>
      </c>
      <c r="BT48" s="136">
        <f t="shared" si="1"/>
        <v>3569.981</v>
      </c>
      <c r="BU48" s="136">
        <f t="shared" si="2"/>
        <v>0</v>
      </c>
      <c r="BV48" s="136">
        <f t="shared" si="3"/>
        <v>68059.682</v>
      </c>
      <c r="BW48" s="136">
        <f t="shared" si="4"/>
        <v>71629.663</v>
      </c>
      <c r="BX48" s="136">
        <f t="shared" si="5"/>
        <v>0</v>
      </c>
      <c r="BY48" s="136"/>
      <c r="BZ48" s="136">
        <f t="shared" si="6"/>
        <v>71629.663</v>
      </c>
    </row>
    <row r="49" spans="1:78" ht="12.75">
      <c r="A49" s="14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36"/>
      <c r="BT49" s="136"/>
      <c r="BU49" s="136"/>
      <c r="BV49" s="136"/>
      <c r="BW49" s="136"/>
      <c r="BX49" s="136"/>
      <c r="BY49" s="136"/>
      <c r="BZ49" s="136"/>
    </row>
    <row r="50" spans="1:78" ht="12.75">
      <c r="A50" s="145" t="s">
        <v>481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36"/>
      <c r="BT50" s="136"/>
      <c r="BU50" s="136"/>
      <c r="BV50" s="136"/>
      <c r="BW50" s="136"/>
      <c r="BX50" s="136"/>
      <c r="BY50" s="136"/>
      <c r="BZ50" s="136"/>
    </row>
    <row r="51" spans="1:78" ht="12.75">
      <c r="A51" s="147" t="s">
        <v>482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704.963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48346.923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3301.47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/>
      <c r="BQ51" s="10"/>
      <c r="BR51" s="10"/>
      <c r="BS51" s="136">
        <f t="shared" si="0"/>
        <v>52353.35600000001</v>
      </c>
      <c r="BT51" s="136">
        <f t="shared" si="1"/>
        <v>0</v>
      </c>
      <c r="BU51" s="136">
        <f t="shared" si="2"/>
        <v>52353.35600000001</v>
      </c>
      <c r="BV51" s="136">
        <f t="shared" si="3"/>
        <v>0</v>
      </c>
      <c r="BW51" s="136">
        <f t="shared" si="4"/>
        <v>52353.35600000001</v>
      </c>
      <c r="BX51" s="136">
        <f t="shared" si="5"/>
        <v>0</v>
      </c>
      <c r="BY51" s="136"/>
      <c r="BZ51" s="136">
        <f t="shared" si="6"/>
        <v>52353.35600000001</v>
      </c>
    </row>
    <row r="52" spans="1:78" ht="12.75">
      <c r="A52" s="139" t="s">
        <v>483</v>
      </c>
      <c r="B52" s="10">
        <v>0</v>
      </c>
      <c r="C52" s="10">
        <v>0</v>
      </c>
      <c r="D52" s="10">
        <v>27891.151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6198.034</v>
      </c>
      <c r="X52" s="10">
        <v>0</v>
      </c>
      <c r="Y52" s="10">
        <v>0</v>
      </c>
      <c r="Z52" s="10">
        <v>0</v>
      </c>
      <c r="AA52" s="10">
        <v>27891.151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v>0</v>
      </c>
      <c r="BN52" s="10">
        <v>0</v>
      </c>
      <c r="BO52" s="10">
        <v>0</v>
      </c>
      <c r="BP52" s="10"/>
      <c r="BQ52" s="10"/>
      <c r="BR52" s="10"/>
      <c r="BS52" s="136">
        <f t="shared" si="0"/>
        <v>61980.335999999996</v>
      </c>
      <c r="BT52" s="136">
        <f t="shared" si="1"/>
        <v>61980.335999999996</v>
      </c>
      <c r="BU52" s="136">
        <f t="shared" si="2"/>
        <v>0</v>
      </c>
      <c r="BV52" s="136">
        <f t="shared" si="3"/>
        <v>0</v>
      </c>
      <c r="BW52" s="136">
        <f t="shared" si="4"/>
        <v>61980.335999999996</v>
      </c>
      <c r="BX52" s="136">
        <f t="shared" si="5"/>
        <v>0</v>
      </c>
      <c r="BY52" s="136"/>
      <c r="BZ52" s="136">
        <f t="shared" si="6"/>
        <v>61980.335999999996</v>
      </c>
    </row>
    <row r="53" spans="1:78" ht="12.75">
      <c r="A53" s="147" t="s">
        <v>484</v>
      </c>
      <c r="B53" s="10">
        <v>53557.177</v>
      </c>
      <c r="C53" s="10">
        <v>141274.009</v>
      </c>
      <c r="D53" s="10">
        <v>230360.084</v>
      </c>
      <c r="E53" s="10">
        <v>152529.619</v>
      </c>
      <c r="F53" s="10">
        <v>17158.458</v>
      </c>
      <c r="G53" s="10">
        <v>34077.935</v>
      </c>
      <c r="H53" s="10">
        <v>1101.137</v>
      </c>
      <c r="I53" s="10">
        <v>4199.256</v>
      </c>
      <c r="J53" s="10">
        <v>20390.898</v>
      </c>
      <c r="K53" s="10">
        <v>50944.367</v>
      </c>
      <c r="L53" s="10">
        <v>2270.834</v>
      </c>
      <c r="M53" s="10">
        <v>849.358</v>
      </c>
      <c r="N53" s="10">
        <v>104067.798</v>
      </c>
      <c r="O53" s="10">
        <v>36031.438</v>
      </c>
      <c r="P53" s="10">
        <v>16491.834</v>
      </c>
      <c r="Q53" s="10">
        <v>1660.868</v>
      </c>
      <c r="R53" s="10">
        <v>2021.047</v>
      </c>
      <c r="S53" s="10">
        <v>1503.875</v>
      </c>
      <c r="T53" s="10">
        <v>1393.691</v>
      </c>
      <c r="U53" s="10">
        <v>813.263</v>
      </c>
      <c r="V53" s="10">
        <v>7468.726</v>
      </c>
      <c r="W53" s="10">
        <v>60963.807</v>
      </c>
      <c r="X53" s="10">
        <v>12870.759</v>
      </c>
      <c r="Y53" s="10">
        <v>1576.753</v>
      </c>
      <c r="Z53" s="10"/>
      <c r="AA53" s="10">
        <v>1840.036</v>
      </c>
      <c r="AB53" s="10">
        <v>124.462</v>
      </c>
      <c r="AC53" s="10"/>
      <c r="AD53" s="10">
        <v>780.311</v>
      </c>
      <c r="AE53" s="10">
        <v>7824.87</v>
      </c>
      <c r="AF53" s="10">
        <v>3724.632</v>
      </c>
      <c r="AG53" s="10"/>
      <c r="AH53" s="10">
        <v>11444.489</v>
      </c>
      <c r="AI53" s="10">
        <v>12040</v>
      </c>
      <c r="AJ53" s="10">
        <v>1424.179</v>
      </c>
      <c r="AK53" s="10"/>
      <c r="AL53" s="10">
        <v>141.248</v>
      </c>
      <c r="AM53" s="10">
        <v>521.089</v>
      </c>
      <c r="AN53" s="10">
        <v>304.274</v>
      </c>
      <c r="AO53" s="10">
        <v>333.745</v>
      </c>
      <c r="AP53" s="10">
        <v>1337.55</v>
      </c>
      <c r="AQ53" s="10">
        <v>6045.821</v>
      </c>
      <c r="AR53" s="10">
        <v>5599.905</v>
      </c>
      <c r="AS53" s="10"/>
      <c r="AT53" s="10">
        <v>377.412</v>
      </c>
      <c r="AU53" s="10">
        <v>1986.422</v>
      </c>
      <c r="AV53" s="10">
        <v>20.664</v>
      </c>
      <c r="AW53" s="10">
        <v>4222.298</v>
      </c>
      <c r="AX53" s="10">
        <v>544.003</v>
      </c>
      <c r="AY53" s="10">
        <v>5420</v>
      </c>
      <c r="AZ53" s="10">
        <v>202.222</v>
      </c>
      <c r="BA53" s="10">
        <v>479.969</v>
      </c>
      <c r="BB53" s="10"/>
      <c r="BC53" s="10">
        <v>5458.779</v>
      </c>
      <c r="BD53" s="10">
        <v>805.572</v>
      </c>
      <c r="BE53" s="10">
        <v>2.228</v>
      </c>
      <c r="BF53" s="10">
        <v>1307.219</v>
      </c>
      <c r="BG53" s="10"/>
      <c r="BH53" s="10">
        <v>60.804</v>
      </c>
      <c r="BI53" s="10">
        <v>108</v>
      </c>
      <c r="BJ53" s="10">
        <v>10601.449</v>
      </c>
      <c r="BK53" s="10">
        <v>1906.731</v>
      </c>
      <c r="BL53" s="10">
        <v>2679.779</v>
      </c>
      <c r="BM53" s="10">
        <v>84.996</v>
      </c>
      <c r="BN53" s="10">
        <v>37179.811</v>
      </c>
      <c r="BO53" s="10">
        <v>6056.445</v>
      </c>
      <c r="BP53" s="10"/>
      <c r="BQ53" s="10"/>
      <c r="BR53" s="10"/>
      <c r="BS53" s="136">
        <f t="shared" si="0"/>
        <v>1088568.4050000003</v>
      </c>
      <c r="BT53" s="136">
        <f t="shared" si="1"/>
        <v>372204.283</v>
      </c>
      <c r="BU53" s="136">
        <f t="shared" si="2"/>
        <v>371577.64800000004</v>
      </c>
      <c r="BV53" s="136">
        <f t="shared" si="3"/>
        <v>302711.302</v>
      </c>
      <c r="BW53" s="136">
        <f t="shared" si="4"/>
        <v>1046493.2330000001</v>
      </c>
      <c r="BX53" s="136">
        <f t="shared" si="5"/>
        <v>42075.17199999999</v>
      </c>
      <c r="BY53" s="136"/>
      <c r="BZ53" s="136">
        <f t="shared" si="6"/>
        <v>1088568.405</v>
      </c>
    </row>
    <row r="54" spans="1:78" s="33" customFormat="1" ht="12.75">
      <c r="A54" s="143" t="s">
        <v>398</v>
      </c>
      <c r="B54" s="110">
        <f aca="true" t="shared" si="17" ref="B54:AG54">SUM(B51:B53)</f>
        <v>53557.177</v>
      </c>
      <c r="C54" s="110">
        <f t="shared" si="17"/>
        <v>141274.009</v>
      </c>
      <c r="D54" s="110">
        <f t="shared" si="17"/>
        <v>258251.23500000002</v>
      </c>
      <c r="E54" s="110">
        <f t="shared" si="17"/>
        <v>152529.619</v>
      </c>
      <c r="F54" s="110">
        <f t="shared" si="17"/>
        <v>17158.458</v>
      </c>
      <c r="G54" s="110">
        <f t="shared" si="17"/>
        <v>34782.898</v>
      </c>
      <c r="H54" s="110">
        <f t="shared" si="17"/>
        <v>1101.137</v>
      </c>
      <c r="I54" s="110">
        <f t="shared" si="17"/>
        <v>4199.256</v>
      </c>
      <c r="J54" s="110">
        <f t="shared" si="17"/>
        <v>20390.898</v>
      </c>
      <c r="K54" s="110">
        <f t="shared" si="17"/>
        <v>50944.367</v>
      </c>
      <c r="L54" s="110">
        <f t="shared" si="17"/>
        <v>2270.834</v>
      </c>
      <c r="M54" s="110">
        <f t="shared" si="17"/>
        <v>849.358</v>
      </c>
      <c r="N54" s="110">
        <f t="shared" si="17"/>
        <v>152414.721</v>
      </c>
      <c r="O54" s="110">
        <f t="shared" si="17"/>
        <v>36031.438</v>
      </c>
      <c r="P54" s="110">
        <f t="shared" si="17"/>
        <v>16491.834</v>
      </c>
      <c r="Q54" s="110">
        <f t="shared" si="17"/>
        <v>1660.868</v>
      </c>
      <c r="R54" s="110">
        <f t="shared" si="17"/>
        <v>2021.047</v>
      </c>
      <c r="S54" s="110">
        <f t="shared" si="17"/>
        <v>1503.875</v>
      </c>
      <c r="T54" s="110">
        <f t="shared" si="17"/>
        <v>1393.691</v>
      </c>
      <c r="U54" s="110">
        <f t="shared" si="17"/>
        <v>813.263</v>
      </c>
      <c r="V54" s="110">
        <f t="shared" si="17"/>
        <v>7468.726</v>
      </c>
      <c r="W54" s="110">
        <f t="shared" si="17"/>
        <v>67161.841</v>
      </c>
      <c r="X54" s="110">
        <f t="shared" si="17"/>
        <v>12870.759</v>
      </c>
      <c r="Y54" s="110">
        <f t="shared" si="17"/>
        <v>1576.753</v>
      </c>
      <c r="Z54" s="110">
        <f t="shared" si="17"/>
        <v>0</v>
      </c>
      <c r="AA54" s="110">
        <f t="shared" si="17"/>
        <v>29731.187</v>
      </c>
      <c r="AB54" s="110">
        <f t="shared" si="17"/>
        <v>124.462</v>
      </c>
      <c r="AC54" s="110">
        <f t="shared" si="17"/>
        <v>0</v>
      </c>
      <c r="AD54" s="110">
        <f t="shared" si="17"/>
        <v>780.311</v>
      </c>
      <c r="AE54" s="110">
        <f t="shared" si="17"/>
        <v>7824.87</v>
      </c>
      <c r="AF54" s="110">
        <f t="shared" si="17"/>
        <v>3724.632</v>
      </c>
      <c r="AG54" s="110">
        <f t="shared" si="17"/>
        <v>0</v>
      </c>
      <c r="AH54" s="110">
        <f aca="true" t="shared" si="18" ref="AH54:BL54">SUM(AH51:AH53)</f>
        <v>11444.489</v>
      </c>
      <c r="AI54" s="110">
        <f t="shared" si="18"/>
        <v>12040</v>
      </c>
      <c r="AJ54" s="110">
        <f t="shared" si="18"/>
        <v>1424.179</v>
      </c>
      <c r="AK54" s="110">
        <f t="shared" si="18"/>
        <v>0</v>
      </c>
      <c r="AL54" s="110">
        <f t="shared" si="18"/>
        <v>141.248</v>
      </c>
      <c r="AM54" s="110">
        <f t="shared" si="18"/>
        <v>521.089</v>
      </c>
      <c r="AN54" s="110">
        <f t="shared" si="18"/>
        <v>304.274</v>
      </c>
      <c r="AO54" s="110">
        <f t="shared" si="18"/>
        <v>333.745</v>
      </c>
      <c r="AP54" s="110">
        <f t="shared" si="18"/>
        <v>1337.55</v>
      </c>
      <c r="AQ54" s="110">
        <f t="shared" si="18"/>
        <v>6045.821</v>
      </c>
      <c r="AR54" s="110">
        <f t="shared" si="18"/>
        <v>5599.905</v>
      </c>
      <c r="AS54" s="110">
        <f t="shared" si="18"/>
        <v>0</v>
      </c>
      <c r="AT54" s="110">
        <f t="shared" si="18"/>
        <v>377.412</v>
      </c>
      <c r="AU54" s="110">
        <f t="shared" si="18"/>
        <v>5287.892</v>
      </c>
      <c r="AV54" s="110">
        <f t="shared" si="18"/>
        <v>20.664</v>
      </c>
      <c r="AW54" s="110">
        <f t="shared" si="18"/>
        <v>4222.298</v>
      </c>
      <c r="AX54" s="110">
        <f t="shared" si="18"/>
        <v>544.003</v>
      </c>
      <c r="AY54" s="110">
        <f t="shared" si="18"/>
        <v>5420</v>
      </c>
      <c r="AZ54" s="110">
        <f t="shared" si="18"/>
        <v>202.222</v>
      </c>
      <c r="BA54" s="110">
        <f t="shared" si="18"/>
        <v>479.969</v>
      </c>
      <c r="BB54" s="110">
        <f t="shared" si="18"/>
        <v>0</v>
      </c>
      <c r="BC54" s="110">
        <f t="shared" si="18"/>
        <v>5458.779</v>
      </c>
      <c r="BD54" s="110">
        <f t="shared" si="18"/>
        <v>805.572</v>
      </c>
      <c r="BE54" s="110">
        <f t="shared" si="18"/>
        <v>2.228</v>
      </c>
      <c r="BF54" s="110">
        <f t="shared" si="18"/>
        <v>1307.219</v>
      </c>
      <c r="BG54" s="110">
        <f t="shared" si="18"/>
        <v>0</v>
      </c>
      <c r="BH54" s="110">
        <f t="shared" si="18"/>
        <v>60.804</v>
      </c>
      <c r="BI54" s="110">
        <f t="shared" si="18"/>
        <v>108</v>
      </c>
      <c r="BJ54" s="110">
        <f t="shared" si="18"/>
        <v>10601.449</v>
      </c>
      <c r="BK54" s="110">
        <f t="shared" si="18"/>
        <v>1906.731</v>
      </c>
      <c r="BL54" s="110">
        <f t="shared" si="18"/>
        <v>2679.779</v>
      </c>
      <c r="BM54" s="110">
        <f>SUM(BM51:BM53)</f>
        <v>84.996</v>
      </c>
      <c r="BN54" s="110">
        <f>SUM(BN51:BN53)</f>
        <v>37179.811</v>
      </c>
      <c r="BO54" s="110">
        <f>SUM(BO51:BO53)</f>
        <v>6056.445</v>
      </c>
      <c r="BP54" s="110"/>
      <c r="BQ54" s="110"/>
      <c r="BR54" s="110"/>
      <c r="BS54" s="136">
        <f t="shared" si="0"/>
        <v>1202902.0970000008</v>
      </c>
      <c r="BT54" s="136">
        <f t="shared" si="1"/>
        <v>434184.61899999995</v>
      </c>
      <c r="BU54" s="136">
        <f t="shared" si="2"/>
        <v>423931.004</v>
      </c>
      <c r="BV54" s="136">
        <f t="shared" si="3"/>
        <v>302711.302</v>
      </c>
      <c r="BW54" s="136">
        <f t="shared" si="4"/>
        <v>1160826.9249999998</v>
      </c>
      <c r="BX54" s="136">
        <f t="shared" si="5"/>
        <v>42075.17199999999</v>
      </c>
      <c r="BY54" s="136"/>
      <c r="BZ54" s="136">
        <f t="shared" si="6"/>
        <v>1202902.0969999998</v>
      </c>
    </row>
    <row r="55" spans="1:78" ht="12.75">
      <c r="A55" s="142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36"/>
      <c r="BT55" s="136"/>
      <c r="BU55" s="136"/>
      <c r="BV55" s="136"/>
      <c r="BW55" s="136"/>
      <c r="BX55" s="136"/>
      <c r="BY55" s="136"/>
      <c r="BZ55" s="136"/>
    </row>
    <row r="56" spans="1:78" ht="12.75">
      <c r="A56" s="149" t="s">
        <v>525</v>
      </c>
      <c r="B56" s="10">
        <v>21239.25</v>
      </c>
      <c r="C56" s="10">
        <v>0</v>
      </c>
      <c r="D56" s="10">
        <v>0</v>
      </c>
      <c r="E56" s="10">
        <v>0</v>
      </c>
      <c r="F56" s="10">
        <v>5852.716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9145.511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980.729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v>0</v>
      </c>
      <c r="BN56" s="10">
        <v>0</v>
      </c>
      <c r="BO56" s="10">
        <v>0</v>
      </c>
      <c r="BP56" s="10"/>
      <c r="BQ56" s="10"/>
      <c r="BR56" s="10"/>
      <c r="BS56" s="136">
        <f t="shared" si="0"/>
        <v>37218.206</v>
      </c>
      <c r="BT56" s="136">
        <f t="shared" si="1"/>
        <v>0</v>
      </c>
      <c r="BU56" s="136">
        <f t="shared" si="2"/>
        <v>5852.716</v>
      </c>
      <c r="BV56" s="136">
        <f t="shared" si="3"/>
        <v>31365.489999999998</v>
      </c>
      <c r="BW56" s="136">
        <f t="shared" si="4"/>
        <v>37218.206</v>
      </c>
      <c r="BX56" s="136">
        <f t="shared" si="5"/>
        <v>0</v>
      </c>
      <c r="BY56" s="136"/>
      <c r="BZ56" s="136">
        <f t="shared" si="6"/>
        <v>37218.206</v>
      </c>
    </row>
    <row r="57" spans="1:78" ht="12.75">
      <c r="A57" s="14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36"/>
      <c r="BT57" s="136"/>
      <c r="BU57" s="136"/>
      <c r="BV57" s="136"/>
      <c r="BW57" s="136"/>
      <c r="BX57" s="136"/>
      <c r="BY57" s="136"/>
      <c r="BZ57" s="136"/>
    </row>
    <row r="58" spans="1:78" s="33" customFormat="1" ht="14.25" customHeight="1">
      <c r="A58" s="150" t="s">
        <v>429</v>
      </c>
      <c r="B58" s="110">
        <f aca="true" t="shared" si="19" ref="B58:AG58">B56+B54+B48</f>
        <v>74796.427</v>
      </c>
      <c r="C58" s="110">
        <f t="shared" si="19"/>
        <v>141274.009</v>
      </c>
      <c r="D58" s="110">
        <f t="shared" si="19"/>
        <v>261002.18200000003</v>
      </c>
      <c r="E58" s="110">
        <f t="shared" si="19"/>
        <v>152529.619</v>
      </c>
      <c r="F58" s="110">
        <f t="shared" si="19"/>
        <v>23011.174</v>
      </c>
      <c r="G58" s="110">
        <f t="shared" si="19"/>
        <v>34782.898</v>
      </c>
      <c r="H58" s="110">
        <f t="shared" si="19"/>
        <v>1101.137</v>
      </c>
      <c r="I58" s="110">
        <f t="shared" si="19"/>
        <v>4199.256</v>
      </c>
      <c r="J58" s="110">
        <f t="shared" si="19"/>
        <v>20390.898</v>
      </c>
      <c r="K58" s="110">
        <f t="shared" si="19"/>
        <v>50944.367</v>
      </c>
      <c r="L58" s="110">
        <f t="shared" si="19"/>
        <v>2270.834</v>
      </c>
      <c r="M58" s="110">
        <f t="shared" si="19"/>
        <v>14358.009000000002</v>
      </c>
      <c r="N58" s="110">
        <f t="shared" si="19"/>
        <v>152414.721</v>
      </c>
      <c r="O58" s="110">
        <f t="shared" si="19"/>
        <v>36031.438</v>
      </c>
      <c r="P58" s="110">
        <f t="shared" si="19"/>
        <v>16491.834</v>
      </c>
      <c r="Q58" s="110">
        <f t="shared" si="19"/>
        <v>1660.868</v>
      </c>
      <c r="R58" s="110">
        <f t="shared" si="19"/>
        <v>2021.047</v>
      </c>
      <c r="S58" s="110">
        <f t="shared" si="19"/>
        <v>1503.875</v>
      </c>
      <c r="T58" s="110">
        <f t="shared" si="19"/>
        <v>1393.691</v>
      </c>
      <c r="U58" s="110">
        <f t="shared" si="19"/>
        <v>813.263</v>
      </c>
      <c r="V58" s="110">
        <f t="shared" si="19"/>
        <v>9159.657</v>
      </c>
      <c r="W58" s="110">
        <f t="shared" si="19"/>
        <v>67476.711</v>
      </c>
      <c r="X58" s="110">
        <f t="shared" si="19"/>
        <v>12870.759</v>
      </c>
      <c r="Y58" s="110">
        <f t="shared" si="19"/>
        <v>1576.753</v>
      </c>
      <c r="Z58" s="110">
        <f t="shared" si="19"/>
        <v>0</v>
      </c>
      <c r="AA58" s="110">
        <f t="shared" si="19"/>
        <v>30194.114</v>
      </c>
      <c r="AB58" s="110">
        <f t="shared" si="19"/>
        <v>124.462</v>
      </c>
      <c r="AC58" s="110">
        <f t="shared" si="19"/>
        <v>0</v>
      </c>
      <c r="AD58" s="110">
        <f t="shared" si="19"/>
        <v>780.311</v>
      </c>
      <c r="AE58" s="110">
        <f t="shared" si="19"/>
        <v>7824.87</v>
      </c>
      <c r="AF58" s="110">
        <f t="shared" si="19"/>
        <v>3724.632</v>
      </c>
      <c r="AG58" s="110">
        <f t="shared" si="19"/>
        <v>0</v>
      </c>
      <c r="AH58" s="110">
        <f aca="true" t="shared" si="20" ref="AH58:BO58">AH56+AH54+AH48</f>
        <v>11444.489</v>
      </c>
      <c r="AI58" s="110">
        <f t="shared" si="20"/>
        <v>12040</v>
      </c>
      <c r="AJ58" s="110">
        <f t="shared" si="20"/>
        <v>1424.179</v>
      </c>
      <c r="AK58" s="110">
        <f t="shared" si="20"/>
        <v>0</v>
      </c>
      <c r="AL58" s="110">
        <f t="shared" si="20"/>
        <v>141.248</v>
      </c>
      <c r="AM58" s="110">
        <f t="shared" si="20"/>
        <v>54675.792</v>
      </c>
      <c r="AN58" s="110">
        <f t="shared" si="20"/>
        <v>304.274</v>
      </c>
      <c r="AO58" s="110">
        <f t="shared" si="20"/>
        <v>333.745</v>
      </c>
      <c r="AP58" s="110">
        <f t="shared" si="20"/>
        <v>1337.55</v>
      </c>
      <c r="AQ58" s="110">
        <f t="shared" si="20"/>
        <v>6045.821</v>
      </c>
      <c r="AR58" s="110">
        <f t="shared" si="20"/>
        <v>5599.905</v>
      </c>
      <c r="AS58" s="110">
        <f t="shared" si="20"/>
        <v>0</v>
      </c>
      <c r="AT58" s="110">
        <f t="shared" si="20"/>
        <v>377.412</v>
      </c>
      <c r="AU58" s="110">
        <f t="shared" si="20"/>
        <v>5287.892</v>
      </c>
      <c r="AV58" s="110">
        <f t="shared" si="20"/>
        <v>20.664</v>
      </c>
      <c r="AW58" s="110">
        <f t="shared" si="20"/>
        <v>13053.935000000001</v>
      </c>
      <c r="AX58" s="110">
        <f t="shared" si="20"/>
        <v>544.003</v>
      </c>
      <c r="AY58" s="110">
        <f t="shared" si="20"/>
        <v>5420</v>
      </c>
      <c r="AZ58" s="110">
        <f t="shared" si="20"/>
        <v>202.222</v>
      </c>
      <c r="BA58" s="110">
        <f t="shared" si="20"/>
        <v>479.969</v>
      </c>
      <c r="BB58" s="110">
        <f t="shared" si="20"/>
        <v>0</v>
      </c>
      <c r="BC58" s="110">
        <f t="shared" si="20"/>
        <v>5458.779</v>
      </c>
      <c r="BD58" s="110">
        <f t="shared" si="20"/>
        <v>805.572</v>
      </c>
      <c r="BE58" s="110">
        <f t="shared" si="20"/>
        <v>2.228</v>
      </c>
      <c r="BF58" s="110">
        <f t="shared" si="20"/>
        <v>1307.219</v>
      </c>
      <c r="BG58" s="110">
        <f t="shared" si="20"/>
        <v>0</v>
      </c>
      <c r="BH58" s="110">
        <f t="shared" si="20"/>
        <v>60.804</v>
      </c>
      <c r="BI58" s="110">
        <f t="shared" si="20"/>
        <v>108</v>
      </c>
      <c r="BJ58" s="110">
        <f t="shared" si="20"/>
        <v>10601.449</v>
      </c>
      <c r="BK58" s="110">
        <f t="shared" si="20"/>
        <v>1906.731</v>
      </c>
      <c r="BL58" s="110">
        <f t="shared" si="20"/>
        <v>2679.779</v>
      </c>
      <c r="BM58" s="110">
        <f t="shared" si="20"/>
        <v>84.996</v>
      </c>
      <c r="BN58" s="110">
        <f t="shared" si="20"/>
        <v>37214.968</v>
      </c>
      <c r="BO58" s="110">
        <f t="shared" si="20"/>
        <v>6062.525</v>
      </c>
      <c r="BP58" s="110"/>
      <c r="BQ58" s="110"/>
      <c r="BR58" s="110"/>
      <c r="BS58" s="136">
        <f t="shared" si="0"/>
        <v>1311749.9660000007</v>
      </c>
      <c r="BT58" s="136">
        <f t="shared" si="1"/>
        <v>437754.60000000003</v>
      </c>
      <c r="BU58" s="136">
        <f t="shared" si="2"/>
        <v>429783.72000000003</v>
      </c>
      <c r="BV58" s="136">
        <f t="shared" si="3"/>
        <v>402136.47400000005</v>
      </c>
      <c r="BW58" s="136">
        <f t="shared" si="4"/>
        <v>1269674.7940000002</v>
      </c>
      <c r="BX58" s="136">
        <f t="shared" si="5"/>
        <v>42075.17199999999</v>
      </c>
      <c r="BY58" s="136"/>
      <c r="BZ58" s="136">
        <f t="shared" si="6"/>
        <v>1311749.9660000002</v>
      </c>
    </row>
    <row r="59" spans="1:78" ht="10.5" customHeight="1">
      <c r="A59" s="14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36"/>
      <c r="BT59" s="136"/>
      <c r="BU59" s="136"/>
      <c r="BV59" s="136"/>
      <c r="BW59" s="136"/>
      <c r="BX59" s="136"/>
      <c r="BY59" s="136"/>
      <c r="BZ59" s="136"/>
    </row>
    <row r="60" spans="1:78" ht="12.75">
      <c r="A60" s="142" t="s">
        <v>163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36"/>
      <c r="BT60" s="136"/>
      <c r="BU60" s="136"/>
      <c r="BV60" s="136"/>
      <c r="BW60" s="136"/>
      <c r="BX60" s="136"/>
      <c r="BY60" s="136"/>
      <c r="BZ60" s="136"/>
    </row>
    <row r="61" spans="1:78" s="33" customFormat="1" ht="12.75">
      <c r="A61" s="142" t="s">
        <v>164</v>
      </c>
      <c r="B61" s="110">
        <f aca="true" t="shared" si="21" ref="B61:AG61">B44-B58</f>
        <v>60859823.21099999</v>
      </c>
      <c r="C61" s="110">
        <f t="shared" si="21"/>
        <v>36889115.788</v>
      </c>
      <c r="D61" s="110">
        <f t="shared" si="21"/>
        <v>36402343.921000004</v>
      </c>
      <c r="E61" s="110">
        <f t="shared" si="21"/>
        <v>32018392.846000005</v>
      </c>
      <c r="F61" s="110">
        <f t="shared" si="21"/>
        <v>30829389.566000007</v>
      </c>
      <c r="G61" s="110">
        <f t="shared" si="21"/>
        <v>14796322.698000003</v>
      </c>
      <c r="H61" s="110">
        <f t="shared" si="21"/>
        <v>14658914.538000003</v>
      </c>
      <c r="I61" s="110">
        <f t="shared" si="21"/>
        <v>14242356.033000002</v>
      </c>
      <c r="J61" s="110">
        <f t="shared" si="21"/>
        <v>12055750.968</v>
      </c>
      <c r="K61" s="110">
        <f t="shared" si="21"/>
        <v>11328355.781</v>
      </c>
      <c r="L61" s="110">
        <f t="shared" si="21"/>
        <v>11327795.788999999</v>
      </c>
      <c r="M61" s="110">
        <f t="shared" si="21"/>
        <v>9900849.698</v>
      </c>
      <c r="N61" s="110">
        <f t="shared" si="21"/>
        <v>9791024.370000001</v>
      </c>
      <c r="O61" s="110">
        <f t="shared" si="21"/>
        <v>8906129.370000001</v>
      </c>
      <c r="P61" s="110">
        <f t="shared" si="21"/>
        <v>8211072.188999999</v>
      </c>
      <c r="Q61" s="110">
        <f t="shared" si="21"/>
        <v>7749802.7870000005</v>
      </c>
      <c r="R61" s="110">
        <f t="shared" si="21"/>
        <v>7450892.071999999</v>
      </c>
      <c r="S61" s="110">
        <f t="shared" si="21"/>
        <v>5482530.702</v>
      </c>
      <c r="T61" s="110">
        <f t="shared" si="21"/>
        <v>5437657.947000001</v>
      </c>
      <c r="U61" s="110">
        <f t="shared" si="21"/>
        <v>5379294.343</v>
      </c>
      <c r="V61" s="110">
        <f t="shared" si="21"/>
        <v>5289685.843</v>
      </c>
      <c r="W61" s="110">
        <f t="shared" si="21"/>
        <v>4632716.112000001</v>
      </c>
      <c r="X61" s="110">
        <f t="shared" si="21"/>
        <v>4405226.127000001</v>
      </c>
      <c r="Y61" s="110">
        <f t="shared" si="21"/>
        <v>4084238.033</v>
      </c>
      <c r="Z61" s="110">
        <f t="shared" si="21"/>
        <v>3921718.4329999997</v>
      </c>
      <c r="AA61" s="110">
        <f t="shared" si="21"/>
        <v>3438070.965</v>
      </c>
      <c r="AB61" s="110">
        <f t="shared" si="21"/>
        <v>2688005.632</v>
      </c>
      <c r="AC61" s="110">
        <f t="shared" si="21"/>
        <v>2626303.382</v>
      </c>
      <c r="AD61" s="110">
        <f t="shared" si="21"/>
        <v>2501463.6479999996</v>
      </c>
      <c r="AE61" s="110">
        <f t="shared" si="21"/>
        <v>2328985.6700000004</v>
      </c>
      <c r="AF61" s="110">
        <f t="shared" si="21"/>
        <v>2314143.1829999997</v>
      </c>
      <c r="AG61" s="110">
        <f t="shared" si="21"/>
        <v>2247105.389</v>
      </c>
      <c r="AH61" s="110">
        <f aca="true" t="shared" si="22" ref="AH61:BO61">AH44-AH58</f>
        <v>2150288.074</v>
      </c>
      <c r="AI61" s="110">
        <f t="shared" si="22"/>
        <v>2002557</v>
      </c>
      <c r="AJ61" s="110">
        <f t="shared" si="22"/>
        <v>1693763.631</v>
      </c>
      <c r="AK61" s="110">
        <f t="shared" si="22"/>
        <v>1683730.152</v>
      </c>
      <c r="AL61" s="110">
        <f t="shared" si="22"/>
        <v>1417460.1160000002</v>
      </c>
      <c r="AM61" s="110">
        <f t="shared" si="22"/>
        <v>1340442.706</v>
      </c>
      <c r="AN61" s="110">
        <f t="shared" si="22"/>
        <v>1309040.281</v>
      </c>
      <c r="AO61" s="110">
        <f t="shared" si="22"/>
        <v>1083640.4809999997</v>
      </c>
      <c r="AP61" s="110">
        <f t="shared" si="22"/>
        <v>1057977.5969999998</v>
      </c>
      <c r="AQ61" s="110">
        <f t="shared" si="22"/>
        <v>948063.817</v>
      </c>
      <c r="AR61" s="110">
        <f t="shared" si="22"/>
        <v>865113.404</v>
      </c>
      <c r="AS61" s="110">
        <f t="shared" si="22"/>
        <v>853427.3439999999</v>
      </c>
      <c r="AT61" s="110">
        <f t="shared" si="22"/>
        <v>842974.5129999999</v>
      </c>
      <c r="AU61" s="110">
        <f t="shared" si="22"/>
        <v>819905.77</v>
      </c>
      <c r="AV61" s="110">
        <f t="shared" si="22"/>
        <v>653442.0950000001</v>
      </c>
      <c r="AW61" s="110">
        <f t="shared" si="22"/>
        <v>619040.726</v>
      </c>
      <c r="AX61" s="110">
        <f t="shared" si="22"/>
        <v>535622.872</v>
      </c>
      <c r="AY61" s="110">
        <f t="shared" si="22"/>
        <v>439324.18400000007</v>
      </c>
      <c r="AZ61" s="110">
        <f t="shared" si="22"/>
        <v>433259.767</v>
      </c>
      <c r="BA61" s="110">
        <f t="shared" si="22"/>
        <v>419469.16799999995</v>
      </c>
      <c r="BB61" s="110">
        <f t="shared" si="22"/>
        <v>391511.83499999996</v>
      </c>
      <c r="BC61" s="110">
        <f t="shared" si="22"/>
        <v>375827.04099999997</v>
      </c>
      <c r="BD61" s="110">
        <f t="shared" si="22"/>
        <v>247140.90600000002</v>
      </c>
      <c r="BE61" s="110">
        <f t="shared" si="22"/>
        <v>201855.40600000002</v>
      </c>
      <c r="BF61" s="110">
        <f t="shared" si="22"/>
        <v>162156.29799999998</v>
      </c>
      <c r="BG61" s="110">
        <f t="shared" si="22"/>
        <v>153041.67700000003</v>
      </c>
      <c r="BH61" s="110">
        <f t="shared" si="22"/>
        <v>132375.469</v>
      </c>
      <c r="BI61" s="110">
        <f t="shared" si="22"/>
        <v>104926.618</v>
      </c>
      <c r="BJ61" s="110">
        <f t="shared" si="22"/>
        <v>93612.75200000001</v>
      </c>
      <c r="BK61" s="110">
        <f t="shared" si="22"/>
        <v>56446.84599999999</v>
      </c>
      <c r="BL61" s="110">
        <f t="shared" si="22"/>
        <v>35233.608</v>
      </c>
      <c r="BM61" s="110">
        <f t="shared" si="22"/>
        <v>10854.395</v>
      </c>
      <c r="BN61" s="110">
        <f t="shared" si="22"/>
        <v>0</v>
      </c>
      <c r="BO61" s="110">
        <f t="shared" si="22"/>
        <v>0</v>
      </c>
      <c r="BP61" s="110"/>
      <c r="BQ61" s="110"/>
      <c r="BR61" s="110"/>
      <c r="BS61" s="136">
        <f t="shared" si="0"/>
        <v>407329003.583</v>
      </c>
      <c r="BT61" s="136">
        <f t="shared" si="1"/>
        <v>56438959.662000015</v>
      </c>
      <c r="BU61" s="136">
        <f t="shared" si="2"/>
        <v>144248224.14100003</v>
      </c>
      <c r="BV61" s="136">
        <f t="shared" si="3"/>
        <v>189678052.16700003</v>
      </c>
      <c r="BW61" s="136">
        <f t="shared" si="4"/>
        <v>390365235.97</v>
      </c>
      <c r="BX61" s="136">
        <f t="shared" si="5"/>
        <v>16963767.613</v>
      </c>
      <c r="BY61" s="136"/>
      <c r="BZ61" s="136">
        <f t="shared" si="6"/>
        <v>407329003.583</v>
      </c>
    </row>
    <row r="62" spans="1:78" ht="12" customHeight="1">
      <c r="A62" s="14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2"/>
      <c r="BQ62" s="2"/>
      <c r="BR62" s="2"/>
      <c r="BS62" s="141"/>
      <c r="BT62" s="141"/>
      <c r="BU62" s="141"/>
      <c r="BV62" s="141"/>
      <c r="BW62" s="141"/>
      <c r="BX62" s="141"/>
      <c r="BY62" s="141"/>
      <c r="BZ62" s="141"/>
    </row>
    <row r="63" spans="1:78" s="91" customFormat="1" ht="11.25" customHeight="1" hidden="1">
      <c r="A63" s="100" t="s">
        <v>350</v>
      </c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2"/>
      <c r="BQ63" s="102"/>
      <c r="BR63" s="102"/>
      <c r="BS63" s="120"/>
      <c r="BT63" s="120"/>
      <c r="BU63" s="120"/>
      <c r="BV63" s="120"/>
      <c r="BW63" s="120"/>
      <c r="BX63" s="120"/>
      <c r="BY63" s="120"/>
      <c r="BZ63" s="120"/>
    </row>
    <row r="64" spans="1:78" s="91" customFormat="1" ht="11.25" customHeight="1" hidden="1">
      <c r="A64" s="100" t="s">
        <v>351</v>
      </c>
      <c r="B64" s="101"/>
      <c r="C64" s="101"/>
      <c r="D64" s="101">
        <v>63378000</v>
      </c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>
        <v>7279000</v>
      </c>
      <c r="X64" s="101"/>
      <c r="Y64" s="101"/>
      <c r="Z64" s="101"/>
      <c r="AA64" s="101">
        <v>63378000</v>
      </c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2"/>
      <c r="BQ64" s="102"/>
      <c r="BR64" s="102"/>
      <c r="BS64" s="121">
        <f>SUM(A64:BO64)</f>
        <v>134035000</v>
      </c>
      <c r="BT64" s="121">
        <f>SUM(D64+I64+W64+AE64+AB64+U64+AO64+AS64+AQ64+AV64+AG64+BF64+BK64+BE64+BL64+BH64+BM64+BN64+BO64)</f>
        <v>70657000</v>
      </c>
      <c r="BU64" s="121" t="e">
        <f>SUM(F64+C64+G64+L64+N64+P64+K64+Q64+S64+Z64+AK64+#REF!+AL64+AU64+BA64)</f>
        <v>#REF!</v>
      </c>
      <c r="BV64" s="121">
        <f>SUM(B64+E64+J64+H64+M64+V64+O64+R64+AC64+AD64+AJ64+AH64+AN64+AM64+AP64+AW64+AZ64+AX64+BB64+BG64+BD64+AY64)</f>
        <v>0</v>
      </c>
      <c r="BW64" s="121" t="e">
        <f>SUM(BT64:BV64)</f>
        <v>#REF!</v>
      </c>
      <c r="BX64" s="121">
        <f>SUM(T64+Y64+AT64+AR64+X64+BC64+BJ64+BI64+AF64+AI64)</f>
        <v>0</v>
      </c>
      <c r="BY64" s="121"/>
      <c r="BZ64" s="121" t="e">
        <f>SUM(BW64:BX64)</f>
        <v>#REF!</v>
      </c>
    </row>
    <row r="65" spans="1:78" s="91" customFormat="1" ht="11.25" customHeight="1" hidden="1">
      <c r="A65" s="106" t="s">
        <v>352</v>
      </c>
      <c r="B65" s="101"/>
      <c r="C65" s="101"/>
      <c r="D65" s="101">
        <f>SUM(D61:D64)</f>
        <v>99780343.921</v>
      </c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>
        <f>SUM(W61:W64)</f>
        <v>11911716.112</v>
      </c>
      <c r="X65" s="101"/>
      <c r="Y65" s="101"/>
      <c r="Z65" s="101"/>
      <c r="AA65" s="101">
        <f>SUM(AA61:AA64)</f>
        <v>66816070.965</v>
      </c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2"/>
      <c r="BQ65" s="102"/>
      <c r="BR65" s="102"/>
      <c r="BS65" s="121">
        <f>SUM(BS61:BS64)</f>
        <v>541364003.583</v>
      </c>
      <c r="BT65" s="121">
        <f>SUM(BT61:BT64)</f>
        <v>127095959.66200002</v>
      </c>
      <c r="BU65" s="121" t="e">
        <f>SUM(F65+C65+G65+L65+N65+P65+K65+Q65+S65+Z65+AK65+#REF!+AL65+AU65+BA65)</f>
        <v>#REF!</v>
      </c>
      <c r="BV65" s="121">
        <f>SUM(B65+E65+J65+H65+M65+V65+O65+R65+AC65+AD65+AJ65+AH65+AN65+AM65+AP65+AW65+AZ65+AX65+BB65+BG65+BD65+AY65)</f>
        <v>0</v>
      </c>
      <c r="BW65" s="121" t="e">
        <f>SUM(BW61:BW64)</f>
        <v>#REF!</v>
      </c>
      <c r="BX65" s="121">
        <f>SUM(T65+Y65+AT65+AR65+X65+BC65+BJ65+BI65+AF65+AI65)</f>
        <v>0</v>
      </c>
      <c r="BY65" s="121"/>
      <c r="BZ65" s="121" t="e">
        <f>SUM(BZ61:BZ64)</f>
        <v>#REF!</v>
      </c>
    </row>
    <row r="66" spans="1:78" ht="6.75" customHeight="1" hidden="1">
      <c r="A66" s="4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2"/>
      <c r="BQ66" s="2"/>
      <c r="BR66" s="2"/>
      <c r="BS66" s="117"/>
      <c r="BT66" s="117"/>
      <c r="BU66" s="117"/>
      <c r="BV66" s="117"/>
      <c r="BW66" s="117"/>
      <c r="BX66" s="117"/>
      <c r="BY66" s="117"/>
      <c r="BZ66" s="117"/>
    </row>
    <row r="67" spans="1:78" s="105" customFormat="1" ht="10.5" customHeight="1" hidden="1">
      <c r="A67" s="99"/>
      <c r="B67" s="103"/>
      <c r="C67" s="103"/>
      <c r="D67" s="103" t="s">
        <v>342</v>
      </c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 t="s">
        <v>342</v>
      </c>
      <c r="X67" s="103"/>
      <c r="Y67" s="103"/>
      <c r="Z67" s="103"/>
      <c r="AA67" s="103" t="s">
        <v>342</v>
      </c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4"/>
      <c r="BQ67" s="104"/>
      <c r="BR67" s="104"/>
      <c r="BS67" s="122" t="s">
        <v>342</v>
      </c>
      <c r="BT67" s="122" t="s">
        <v>342</v>
      </c>
      <c r="BU67" s="122"/>
      <c r="BV67" s="122"/>
      <c r="BW67" s="122"/>
      <c r="BX67" s="122"/>
      <c r="BY67" s="122"/>
      <c r="BZ67" s="122"/>
    </row>
    <row r="68" spans="1:78" s="105" customFormat="1" ht="10.5" customHeight="1" hidden="1">
      <c r="A68" s="99"/>
      <c r="B68" s="103"/>
      <c r="C68" s="103"/>
      <c r="D68" s="103" t="s">
        <v>340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 t="s">
        <v>340</v>
      </c>
      <c r="X68" s="103"/>
      <c r="Y68" s="103"/>
      <c r="Z68" s="103"/>
      <c r="AA68" s="103" t="s">
        <v>340</v>
      </c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4"/>
      <c r="BQ68" s="104"/>
      <c r="BR68" s="104"/>
      <c r="BS68" s="122" t="s">
        <v>340</v>
      </c>
      <c r="BT68" s="122" t="s">
        <v>340</v>
      </c>
      <c r="BU68" s="122"/>
      <c r="BV68" s="122"/>
      <c r="BW68" s="122"/>
      <c r="BX68" s="122"/>
      <c r="BY68" s="122"/>
      <c r="BZ68" s="122"/>
    </row>
    <row r="69" spans="1:78" s="105" customFormat="1" ht="10.5" customHeight="1" hidden="1">
      <c r="A69" s="99"/>
      <c r="B69" s="103"/>
      <c r="C69" s="103"/>
      <c r="D69" s="103" t="s">
        <v>341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 t="s">
        <v>341</v>
      </c>
      <c r="X69" s="103"/>
      <c r="Y69" s="103"/>
      <c r="Z69" s="103"/>
      <c r="AA69" s="103" t="s">
        <v>341</v>
      </c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4"/>
      <c r="BQ69" s="104"/>
      <c r="BR69" s="104"/>
      <c r="BS69" s="122" t="s">
        <v>341</v>
      </c>
      <c r="BT69" s="122" t="s">
        <v>341</v>
      </c>
      <c r="BU69" s="122"/>
      <c r="BV69" s="122"/>
      <c r="BW69" s="122"/>
      <c r="BX69" s="122"/>
      <c r="BY69" s="122"/>
      <c r="BZ69" s="122"/>
    </row>
    <row r="70" spans="1:78" ht="12.75">
      <c r="A70" s="4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2"/>
      <c r="BQ70" s="2"/>
      <c r="BR70" s="2"/>
      <c r="BS70" s="117"/>
      <c r="BT70" s="117"/>
      <c r="BU70" s="117"/>
      <c r="BV70" s="117"/>
      <c r="BW70" s="117"/>
      <c r="BX70" s="117"/>
      <c r="BY70" s="117"/>
      <c r="BZ70" s="117"/>
    </row>
  </sheetData>
  <sheetProtection/>
  <mergeCells count="1">
    <mergeCell ref="BU10:BV11"/>
  </mergeCells>
  <printOptions/>
  <pageMargins left="0.3937007874015748" right="0.3937007874015748" top="0.1968503937007874" bottom="0.7874015748031497" header="0.7086614173228347" footer="0.5511811023622047"/>
  <pageSetup horizontalDpi="300" verticalDpi="300" orientation="portrait" paperSize="9" scale="90" r:id="rId1"/>
  <headerFooter alignWithMargins="0">
    <oddHeader>&amp;C&amp;"Times New Roman,Bold"&amp;14
  3.1.   EFNAHAGSREIKNINGUR 31.12.1998</oddHeader>
    <oddFooter>&amp;L&amp;"Times New Roman,Regular"1) Sjá sundurliðun á öðrum fjárfestingum í kafla 3.5.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70"/>
  <sheetViews>
    <sheetView zoomScale="90" zoomScaleNormal="90" zoomScalePageLayoutView="0" workbookViewId="0" topLeftCell="A1">
      <pane xSplit="1" ySplit="4" topLeftCell="BS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S59" sqref="BS59"/>
    </sheetView>
  </sheetViews>
  <sheetFormatPr defaultColWidth="9.00390625" defaultRowHeight="12.75" outlineLevelRow="1"/>
  <cols>
    <col min="1" max="1" width="27.875" style="53" customWidth="1"/>
    <col min="2" max="67" width="9.625" style="33" customWidth="1"/>
    <col min="68" max="69" width="9.50390625" style="33" customWidth="1"/>
    <col min="70" max="70" width="8.875" style="33" customWidth="1"/>
    <col min="71" max="76" width="10.375" style="33" customWidth="1"/>
    <col min="77" max="77" width="2.625" style="33" customWidth="1"/>
    <col min="78" max="78" width="10.375" style="33" customWidth="1"/>
    <col min="79" max="16384" width="9.00390625" style="33" customWidth="1"/>
  </cols>
  <sheetData>
    <row r="1" spans="1:78" s="46" customFormat="1" ht="26.25" customHeight="1">
      <c r="A1" s="50"/>
      <c r="B1" s="132" t="s">
        <v>0</v>
      </c>
      <c r="C1" s="132" t="s">
        <v>0</v>
      </c>
      <c r="D1" s="132" t="s">
        <v>0</v>
      </c>
      <c r="E1" s="132" t="s">
        <v>0</v>
      </c>
      <c r="F1" s="132" t="s">
        <v>1</v>
      </c>
      <c r="G1" s="132" t="s">
        <v>0</v>
      </c>
      <c r="H1" s="132" t="s">
        <v>2</v>
      </c>
      <c r="I1" s="131" t="s">
        <v>0</v>
      </c>
      <c r="J1" s="132" t="s">
        <v>3</v>
      </c>
      <c r="K1" s="132" t="s">
        <v>0</v>
      </c>
      <c r="L1" s="132" t="s">
        <v>0</v>
      </c>
      <c r="M1" s="132" t="s">
        <v>0</v>
      </c>
      <c r="N1" s="132" t="s">
        <v>0</v>
      </c>
      <c r="O1" s="132" t="s">
        <v>0</v>
      </c>
      <c r="P1" s="132" t="s">
        <v>0</v>
      </c>
      <c r="Q1" s="132" t="s">
        <v>0</v>
      </c>
      <c r="R1" s="132" t="s">
        <v>0</v>
      </c>
      <c r="S1" s="132" t="s">
        <v>0</v>
      </c>
      <c r="T1" s="132" t="s">
        <v>5</v>
      </c>
      <c r="U1" s="131" t="s">
        <v>0</v>
      </c>
      <c r="V1" s="132" t="s">
        <v>516</v>
      </c>
      <c r="W1" s="132" t="s">
        <v>0</v>
      </c>
      <c r="X1" s="132" t="s">
        <v>7</v>
      </c>
      <c r="Y1" s="131" t="s">
        <v>0</v>
      </c>
      <c r="Z1" s="132" t="s">
        <v>0</v>
      </c>
      <c r="AA1" s="132" t="s">
        <v>0</v>
      </c>
      <c r="AB1" s="132" t="s">
        <v>0</v>
      </c>
      <c r="AC1" s="132" t="s">
        <v>0</v>
      </c>
      <c r="AD1" s="132" t="s">
        <v>0</v>
      </c>
      <c r="AE1" s="132" t="s">
        <v>0</v>
      </c>
      <c r="AF1" s="132" t="s">
        <v>8</v>
      </c>
      <c r="AG1" s="132" t="s">
        <v>4</v>
      </c>
      <c r="AH1" s="132" t="s">
        <v>6</v>
      </c>
      <c r="AI1" s="132" t="s">
        <v>6</v>
      </c>
      <c r="AJ1" s="132" t="s">
        <v>0</v>
      </c>
      <c r="AK1" s="132" t="s">
        <v>0</v>
      </c>
      <c r="AL1" s="132" t="s">
        <v>0</v>
      </c>
      <c r="AM1" s="132" t="s">
        <v>4</v>
      </c>
      <c r="AN1" s="132" t="s">
        <v>0</v>
      </c>
      <c r="AO1" s="132" t="s">
        <v>0</v>
      </c>
      <c r="AP1" s="132" t="s">
        <v>0</v>
      </c>
      <c r="AQ1" s="132" t="s">
        <v>4</v>
      </c>
      <c r="AR1" s="132" t="s">
        <v>0</v>
      </c>
      <c r="AS1" s="132" t="s">
        <v>0</v>
      </c>
      <c r="AT1" s="132" t="s">
        <v>0</v>
      </c>
      <c r="AU1" s="132" t="s">
        <v>0</v>
      </c>
      <c r="AV1" s="132" t="s">
        <v>0</v>
      </c>
      <c r="AW1" s="132" t="s">
        <v>4</v>
      </c>
      <c r="AX1" s="132" t="s">
        <v>4</v>
      </c>
      <c r="AY1" s="132" t="s">
        <v>61</v>
      </c>
      <c r="AZ1" s="132" t="s">
        <v>0</v>
      </c>
      <c r="BA1" s="132" t="s">
        <v>0</v>
      </c>
      <c r="BB1" s="132" t="s">
        <v>6</v>
      </c>
      <c r="BC1" s="132" t="s">
        <v>4</v>
      </c>
      <c r="BD1" s="132" t="s">
        <v>0</v>
      </c>
      <c r="BE1" s="132" t="s">
        <v>4</v>
      </c>
      <c r="BF1" s="132" t="s">
        <v>0</v>
      </c>
      <c r="BG1" s="132" t="s">
        <v>0</v>
      </c>
      <c r="BH1" s="132" t="s">
        <v>0</v>
      </c>
      <c r="BI1" s="132" t="s">
        <v>9</v>
      </c>
      <c r="BJ1" s="132" t="s">
        <v>0</v>
      </c>
      <c r="BK1" s="132" t="s">
        <v>558</v>
      </c>
      <c r="BL1" s="132" t="s">
        <v>0</v>
      </c>
      <c r="BM1" s="132" t="s">
        <v>0</v>
      </c>
      <c r="BN1" s="132" t="s">
        <v>0</v>
      </c>
      <c r="BO1" s="132" t="s">
        <v>0</v>
      </c>
      <c r="BP1" s="132"/>
      <c r="BQ1" s="132"/>
      <c r="BR1" s="132"/>
      <c r="BS1" s="132" t="s">
        <v>10</v>
      </c>
      <c r="BT1" s="138" t="s">
        <v>545</v>
      </c>
      <c r="BU1" s="226" t="s">
        <v>542</v>
      </c>
      <c r="BV1" s="226"/>
      <c r="BW1" s="132"/>
      <c r="BX1" s="132"/>
      <c r="BY1" s="132"/>
      <c r="BZ1" s="132" t="s">
        <v>11</v>
      </c>
    </row>
    <row r="2" spans="1:78" s="46" customFormat="1" ht="12.75">
      <c r="A2" s="51" t="s">
        <v>12</v>
      </c>
      <c r="B2" s="132" t="s">
        <v>13</v>
      </c>
      <c r="C2" s="132" t="s">
        <v>17</v>
      </c>
      <c r="D2" s="132" t="s">
        <v>507</v>
      </c>
      <c r="E2" s="132" t="s">
        <v>14</v>
      </c>
      <c r="F2" s="132" t="s">
        <v>16</v>
      </c>
      <c r="G2" s="132" t="s">
        <v>18</v>
      </c>
      <c r="H2" s="132" t="s">
        <v>16</v>
      </c>
      <c r="I2" s="131" t="s">
        <v>551</v>
      </c>
      <c r="J2" s="132" t="s">
        <v>16</v>
      </c>
      <c r="K2" s="132" t="s">
        <v>427</v>
      </c>
      <c r="L2" s="132" t="s">
        <v>20</v>
      </c>
      <c r="M2" s="132" t="s">
        <v>19</v>
      </c>
      <c r="N2" s="132" t="s">
        <v>21</v>
      </c>
      <c r="O2" s="132" t="s">
        <v>23</v>
      </c>
      <c r="P2" s="132" t="s">
        <v>22</v>
      </c>
      <c r="Q2" s="132" t="s">
        <v>24</v>
      </c>
      <c r="R2" s="132" t="s">
        <v>565</v>
      </c>
      <c r="S2" s="132" t="s">
        <v>25</v>
      </c>
      <c r="T2" s="132" t="s">
        <v>16</v>
      </c>
      <c r="U2" s="131" t="s">
        <v>15</v>
      </c>
      <c r="V2" s="132" t="s">
        <v>53</v>
      </c>
      <c r="W2" s="132" t="s">
        <v>26</v>
      </c>
      <c r="X2" s="132" t="s">
        <v>31</v>
      </c>
      <c r="Y2" s="131" t="s">
        <v>553</v>
      </c>
      <c r="Z2" s="132" t="s">
        <v>83</v>
      </c>
      <c r="AA2" s="132" t="s">
        <v>507</v>
      </c>
      <c r="AB2" s="132" t="s">
        <v>15</v>
      </c>
      <c r="AC2" s="132" t="s">
        <v>27</v>
      </c>
      <c r="AD2" s="132" t="s">
        <v>28</v>
      </c>
      <c r="AE2" s="132" t="s">
        <v>29</v>
      </c>
      <c r="AF2" s="132" t="s">
        <v>16</v>
      </c>
      <c r="AG2" s="132" t="s">
        <v>15</v>
      </c>
      <c r="AH2" s="132" t="s">
        <v>30</v>
      </c>
      <c r="AI2" s="132" t="s">
        <v>30</v>
      </c>
      <c r="AJ2" s="132" t="s">
        <v>32</v>
      </c>
      <c r="AK2" s="132" t="s">
        <v>33</v>
      </c>
      <c r="AL2" s="132" t="s">
        <v>34</v>
      </c>
      <c r="AM2" s="132" t="s">
        <v>35</v>
      </c>
      <c r="AN2" s="132" t="s">
        <v>36</v>
      </c>
      <c r="AO2" s="132" t="s">
        <v>38</v>
      </c>
      <c r="AP2" s="132" t="s">
        <v>37</v>
      </c>
      <c r="AQ2" s="132" t="s">
        <v>39</v>
      </c>
      <c r="AR2" s="132" t="s">
        <v>42</v>
      </c>
      <c r="AS2" s="132" t="s">
        <v>40</v>
      </c>
      <c r="AT2" s="132" t="s">
        <v>41</v>
      </c>
      <c r="AU2" s="132" t="s">
        <v>43</v>
      </c>
      <c r="AV2" s="132" t="s">
        <v>45</v>
      </c>
      <c r="AW2" s="132" t="s">
        <v>44</v>
      </c>
      <c r="AX2" s="132" t="s">
        <v>46</v>
      </c>
      <c r="AY2" s="132" t="s">
        <v>16</v>
      </c>
      <c r="AZ2" s="132" t="s">
        <v>15</v>
      </c>
      <c r="BA2" s="132" t="s">
        <v>47</v>
      </c>
      <c r="BB2" s="132" t="s">
        <v>30</v>
      </c>
      <c r="BC2" s="132" t="s">
        <v>496</v>
      </c>
      <c r="BD2" s="132" t="s">
        <v>48</v>
      </c>
      <c r="BE2" s="132" t="s">
        <v>50</v>
      </c>
      <c r="BF2" s="132" t="s">
        <v>49</v>
      </c>
      <c r="BG2" s="132" t="s">
        <v>51</v>
      </c>
      <c r="BH2" s="132" t="s">
        <v>52</v>
      </c>
      <c r="BI2" s="132" t="s">
        <v>53</v>
      </c>
      <c r="BJ2" s="132" t="s">
        <v>54</v>
      </c>
      <c r="BK2" s="132" t="s">
        <v>15</v>
      </c>
      <c r="BL2" s="132" t="s">
        <v>55</v>
      </c>
      <c r="BM2" s="132" t="s">
        <v>56</v>
      </c>
      <c r="BN2" s="132" t="s">
        <v>57</v>
      </c>
      <c r="BO2" s="132" t="s">
        <v>58</v>
      </c>
      <c r="BP2" s="132"/>
      <c r="BQ2" s="132"/>
      <c r="BR2" s="132"/>
      <c r="BS2" s="132" t="s">
        <v>59</v>
      </c>
      <c r="BT2" s="138" t="s">
        <v>546</v>
      </c>
      <c r="BU2" s="226"/>
      <c r="BV2" s="226"/>
      <c r="BW2" s="132"/>
      <c r="BX2" s="132" t="s">
        <v>61</v>
      </c>
      <c r="BY2" s="132"/>
      <c r="BZ2" s="132" t="s">
        <v>59</v>
      </c>
    </row>
    <row r="3" spans="1:78" s="46" customFormat="1" ht="12.75">
      <c r="A3" s="50"/>
      <c r="B3" s="132" t="s">
        <v>62</v>
      </c>
      <c r="C3" s="132"/>
      <c r="D3" s="132" t="s">
        <v>508</v>
      </c>
      <c r="E3" s="132"/>
      <c r="F3" s="132" t="s">
        <v>30</v>
      </c>
      <c r="G3" s="132" t="s">
        <v>64</v>
      </c>
      <c r="H3" s="132" t="s">
        <v>63</v>
      </c>
      <c r="I3" s="131" t="s">
        <v>77</v>
      </c>
      <c r="J3" s="132" t="s">
        <v>30</v>
      </c>
      <c r="K3" s="132"/>
      <c r="L3" s="132" t="s">
        <v>64</v>
      </c>
      <c r="M3" s="132"/>
      <c r="N3" s="132" t="s">
        <v>65</v>
      </c>
      <c r="O3" s="132"/>
      <c r="P3" s="132" t="s">
        <v>66</v>
      </c>
      <c r="Q3" s="132" t="s">
        <v>501</v>
      </c>
      <c r="R3" s="132" t="s">
        <v>564</v>
      </c>
      <c r="S3" s="132" t="s">
        <v>64</v>
      </c>
      <c r="T3" s="132" t="s">
        <v>30</v>
      </c>
      <c r="U3" s="131" t="s">
        <v>566</v>
      </c>
      <c r="V3" s="132" t="s">
        <v>517</v>
      </c>
      <c r="W3" s="132" t="s">
        <v>346</v>
      </c>
      <c r="X3" s="132" t="s">
        <v>73</v>
      </c>
      <c r="Y3" s="131" t="s">
        <v>554</v>
      </c>
      <c r="Z3" s="132"/>
      <c r="AA3" s="132" t="s">
        <v>509</v>
      </c>
      <c r="AB3" s="132" t="s">
        <v>69</v>
      </c>
      <c r="AC3" s="132" t="s">
        <v>68</v>
      </c>
      <c r="AD3" s="132"/>
      <c r="AE3" s="132" t="s">
        <v>70</v>
      </c>
      <c r="AF3" s="132" t="s">
        <v>85</v>
      </c>
      <c r="AG3" s="132" t="s">
        <v>71</v>
      </c>
      <c r="AH3" s="132" t="s">
        <v>72</v>
      </c>
      <c r="AI3" s="132" t="s">
        <v>90</v>
      </c>
      <c r="AJ3" s="132" t="s">
        <v>74</v>
      </c>
      <c r="AK3" s="132" t="s">
        <v>75</v>
      </c>
      <c r="AL3" s="132"/>
      <c r="AM3" s="132" t="s">
        <v>76</v>
      </c>
      <c r="AN3" s="132" t="s">
        <v>77</v>
      </c>
      <c r="AO3" s="132" t="s">
        <v>79</v>
      </c>
      <c r="AP3" s="132" t="s">
        <v>78</v>
      </c>
      <c r="AQ3" s="132" t="s">
        <v>80</v>
      </c>
      <c r="AR3" s="132" t="s">
        <v>67</v>
      </c>
      <c r="AS3" s="132" t="s">
        <v>81</v>
      </c>
      <c r="AT3" s="132" t="s">
        <v>76</v>
      </c>
      <c r="AU3" s="132" t="s">
        <v>82</v>
      </c>
      <c r="AV3" s="132" t="s">
        <v>80</v>
      </c>
      <c r="AW3" s="132" t="s">
        <v>83</v>
      </c>
      <c r="AX3" s="132" t="s">
        <v>84</v>
      </c>
      <c r="AY3" s="132" t="s">
        <v>30</v>
      </c>
      <c r="AZ3" s="132" t="s">
        <v>86</v>
      </c>
      <c r="BA3" s="132" t="s">
        <v>88</v>
      </c>
      <c r="BB3" s="132" t="s">
        <v>87</v>
      </c>
      <c r="BC3" s="132" t="s">
        <v>89</v>
      </c>
      <c r="BD3" s="132" t="s">
        <v>91</v>
      </c>
      <c r="BE3" s="132" t="s">
        <v>93</v>
      </c>
      <c r="BF3" s="132" t="s">
        <v>92</v>
      </c>
      <c r="BG3" s="132" t="s">
        <v>94</v>
      </c>
      <c r="BH3" s="132" t="s">
        <v>95</v>
      </c>
      <c r="BI3" s="132" t="s">
        <v>96</v>
      </c>
      <c r="BJ3" s="132" t="s">
        <v>97</v>
      </c>
      <c r="BK3" s="132" t="s">
        <v>555</v>
      </c>
      <c r="BL3" s="132" t="s">
        <v>98</v>
      </c>
      <c r="BM3" s="132" t="s">
        <v>99</v>
      </c>
      <c r="BN3" s="132" t="s">
        <v>62</v>
      </c>
      <c r="BO3" s="132"/>
      <c r="BP3" s="132"/>
      <c r="BQ3" s="132"/>
      <c r="BR3" s="132"/>
      <c r="BS3" s="132" t="s">
        <v>100</v>
      </c>
      <c r="BT3" s="138" t="s">
        <v>541</v>
      </c>
      <c r="BU3" s="138" t="s">
        <v>543</v>
      </c>
      <c r="BV3" s="138" t="s">
        <v>544</v>
      </c>
      <c r="BW3" s="132" t="s">
        <v>101</v>
      </c>
      <c r="BX3" s="132" t="s">
        <v>60</v>
      </c>
      <c r="BY3" s="132"/>
      <c r="BZ3" s="132" t="s">
        <v>100</v>
      </c>
    </row>
    <row r="4" spans="1:78" s="113" customFormat="1" ht="13.5" customHeight="1">
      <c r="A4" s="111"/>
      <c r="B4" s="133" t="s">
        <v>102</v>
      </c>
      <c r="C4" s="133" t="s">
        <v>103</v>
      </c>
      <c r="D4" s="133" t="s">
        <v>104</v>
      </c>
      <c r="E4" s="133" t="s">
        <v>105</v>
      </c>
      <c r="F4" s="133" t="s">
        <v>106</v>
      </c>
      <c r="G4" s="133" t="s">
        <v>107</v>
      </c>
      <c r="H4" s="133" t="s">
        <v>108</v>
      </c>
      <c r="I4" s="133" t="s">
        <v>109</v>
      </c>
      <c r="J4" s="133" t="s">
        <v>335</v>
      </c>
      <c r="K4" s="133" t="s">
        <v>336</v>
      </c>
      <c r="L4" s="133" t="s">
        <v>337</v>
      </c>
      <c r="M4" s="133" t="s">
        <v>110</v>
      </c>
      <c r="N4" s="133" t="s">
        <v>111</v>
      </c>
      <c r="O4" s="133" t="s">
        <v>112</v>
      </c>
      <c r="P4" s="133" t="s">
        <v>113</v>
      </c>
      <c r="Q4" s="133" t="s">
        <v>114</v>
      </c>
      <c r="R4" s="133" t="s">
        <v>115</v>
      </c>
      <c r="S4" s="133" t="s">
        <v>116</v>
      </c>
      <c r="T4" s="133" t="s">
        <v>117</v>
      </c>
      <c r="U4" s="133" t="s">
        <v>118</v>
      </c>
      <c r="V4" s="133" t="s">
        <v>119</v>
      </c>
      <c r="W4" s="133" t="s">
        <v>120</v>
      </c>
      <c r="X4" s="133" t="s">
        <v>121</v>
      </c>
      <c r="Y4" s="133" t="s">
        <v>122</v>
      </c>
      <c r="Z4" s="133" t="s">
        <v>123</v>
      </c>
      <c r="AA4" s="133" t="s">
        <v>124</v>
      </c>
      <c r="AB4" s="133" t="s">
        <v>125</v>
      </c>
      <c r="AC4" s="133" t="s">
        <v>126</v>
      </c>
      <c r="AD4" s="133" t="s">
        <v>127</v>
      </c>
      <c r="AE4" s="133" t="s">
        <v>128</v>
      </c>
      <c r="AF4" s="133" t="s">
        <v>129</v>
      </c>
      <c r="AG4" s="133" t="s">
        <v>130</v>
      </c>
      <c r="AH4" s="133" t="s">
        <v>131</v>
      </c>
      <c r="AI4" s="133" t="s">
        <v>132</v>
      </c>
      <c r="AJ4" s="133" t="s">
        <v>133</v>
      </c>
      <c r="AK4" s="133" t="s">
        <v>134</v>
      </c>
      <c r="AL4" s="133" t="s">
        <v>135</v>
      </c>
      <c r="AM4" s="133" t="s">
        <v>136</v>
      </c>
      <c r="AN4" s="133" t="s">
        <v>137</v>
      </c>
      <c r="AO4" s="133" t="s">
        <v>138</v>
      </c>
      <c r="AP4" s="133" t="s">
        <v>139</v>
      </c>
      <c r="AQ4" s="133" t="s">
        <v>140</v>
      </c>
      <c r="AR4" s="133" t="s">
        <v>141</v>
      </c>
      <c r="AS4" s="133" t="s">
        <v>142</v>
      </c>
      <c r="AT4" s="133" t="s">
        <v>143</v>
      </c>
      <c r="AU4" s="133" t="s">
        <v>144</v>
      </c>
      <c r="AV4" s="133" t="s">
        <v>145</v>
      </c>
      <c r="AW4" s="133" t="s">
        <v>146</v>
      </c>
      <c r="AX4" s="133" t="s">
        <v>147</v>
      </c>
      <c r="AY4" s="133" t="s">
        <v>148</v>
      </c>
      <c r="AZ4" s="133" t="s">
        <v>149</v>
      </c>
      <c r="BA4" s="133" t="s">
        <v>150</v>
      </c>
      <c r="BB4" s="133" t="s">
        <v>348</v>
      </c>
      <c r="BC4" s="133" t="s">
        <v>151</v>
      </c>
      <c r="BD4" s="133" t="s">
        <v>152</v>
      </c>
      <c r="BE4" s="133" t="s">
        <v>153</v>
      </c>
      <c r="BF4" s="133" t="s">
        <v>154</v>
      </c>
      <c r="BG4" s="133" t="s">
        <v>155</v>
      </c>
      <c r="BH4" s="133" t="s">
        <v>349</v>
      </c>
      <c r="BI4" s="133" t="s">
        <v>156</v>
      </c>
      <c r="BJ4" s="133" t="s">
        <v>157</v>
      </c>
      <c r="BK4" s="133" t="s">
        <v>158</v>
      </c>
      <c r="BL4" s="133" t="s">
        <v>159</v>
      </c>
      <c r="BM4" s="133" t="s">
        <v>160</v>
      </c>
      <c r="BN4" s="133" t="s">
        <v>161</v>
      </c>
      <c r="BO4" s="133" t="s">
        <v>162</v>
      </c>
      <c r="BP4" s="133"/>
      <c r="BQ4" s="133"/>
      <c r="BR4" s="133"/>
      <c r="BS4" s="134"/>
      <c r="BT4" s="134" t="s">
        <v>589</v>
      </c>
      <c r="BU4" s="134" t="s">
        <v>494</v>
      </c>
      <c r="BV4" s="134" t="s">
        <v>590</v>
      </c>
      <c r="BW4" s="134" t="s">
        <v>586</v>
      </c>
      <c r="BX4" s="134" t="s">
        <v>585</v>
      </c>
      <c r="BY4" s="134"/>
      <c r="BZ4" s="134" t="s">
        <v>513</v>
      </c>
    </row>
    <row r="5" spans="1:78" ht="12.75">
      <c r="A5" s="52" t="s">
        <v>380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31"/>
      <c r="BT5" s="31"/>
      <c r="BU5" s="31"/>
      <c r="BV5" s="31"/>
      <c r="BW5" s="31"/>
      <c r="BX5" s="31"/>
      <c r="BY5" s="31"/>
      <c r="BZ5" s="31"/>
    </row>
    <row r="6" spans="1:78" ht="12.75">
      <c r="A6" s="51" t="s">
        <v>368</v>
      </c>
      <c r="B6" s="10">
        <v>1516407.463</v>
      </c>
      <c r="C6" s="10">
        <v>777308.915</v>
      </c>
      <c r="D6" s="10">
        <v>728413.678</v>
      </c>
      <c r="E6" s="10">
        <v>655845.976</v>
      </c>
      <c r="F6" s="10">
        <v>657780.555</v>
      </c>
      <c r="G6" s="10">
        <v>334136</v>
      </c>
      <c r="H6" s="10">
        <v>212966.346</v>
      </c>
      <c r="I6" s="10">
        <v>128465.784</v>
      </c>
      <c r="J6" s="10">
        <v>213110.486</v>
      </c>
      <c r="K6" s="10">
        <v>331896.716</v>
      </c>
      <c r="L6" s="10">
        <v>274724.858</v>
      </c>
      <c r="M6" s="10">
        <v>103559.363</v>
      </c>
      <c r="N6" s="10">
        <v>214020.9</v>
      </c>
      <c r="O6" s="10">
        <v>245733.298</v>
      </c>
      <c r="P6" s="10">
        <v>190787.694</v>
      </c>
      <c r="Q6" s="10">
        <v>152550.685</v>
      </c>
      <c r="R6" s="10">
        <v>236039.613</v>
      </c>
      <c r="S6" s="10">
        <f>137479.74+199.034</f>
        <v>137678.774</v>
      </c>
      <c r="T6" s="10">
        <v>780677.604</v>
      </c>
      <c r="U6" s="10">
        <v>48847.088</v>
      </c>
      <c r="V6" s="10">
        <v>51957.857</v>
      </c>
      <c r="W6" s="10">
        <v>66413.909</v>
      </c>
      <c r="X6" s="10">
        <v>195164.503</v>
      </c>
      <c r="Y6" s="10">
        <v>69175.553</v>
      </c>
      <c r="Z6" s="10">
        <v>113992.936</v>
      </c>
      <c r="AA6" s="10">
        <v>694840.302</v>
      </c>
      <c r="AB6" s="10">
        <v>165549.466</v>
      </c>
      <c r="AC6" s="10">
        <v>67563.893</v>
      </c>
      <c r="AD6" s="10">
        <v>43040.172</v>
      </c>
      <c r="AE6" s="10">
        <v>0</v>
      </c>
      <c r="AF6" s="10">
        <v>647715.837</v>
      </c>
      <c r="AG6" s="10">
        <v>0</v>
      </c>
      <c r="AH6" s="10">
        <v>40917.841</v>
      </c>
      <c r="AI6" s="10">
        <v>237425</v>
      </c>
      <c r="AJ6" s="10">
        <v>35000.913</v>
      </c>
      <c r="AK6" s="10">
        <v>24695.433</v>
      </c>
      <c r="AL6" s="10">
        <v>34999.116</v>
      </c>
      <c r="AM6" s="10">
        <v>25142.203</v>
      </c>
      <c r="AN6" s="10">
        <v>26587.269</v>
      </c>
      <c r="AO6" s="10">
        <v>16976.768</v>
      </c>
      <c r="AP6" s="10">
        <v>16534.795</v>
      </c>
      <c r="AQ6" s="10">
        <f>21787.888+6095.662</f>
        <v>27883.55</v>
      </c>
      <c r="AR6" s="10">
        <v>34495.3</v>
      </c>
      <c r="AS6" s="10">
        <v>22751.594</v>
      </c>
      <c r="AT6" s="10">
        <v>15032.305</v>
      </c>
      <c r="AU6" s="10">
        <v>21103.199</v>
      </c>
      <c r="AV6" s="10">
        <v>10683.383</v>
      </c>
      <c r="AW6" s="10">
        <v>0</v>
      </c>
      <c r="AX6" s="10">
        <v>0</v>
      </c>
      <c r="AY6" s="10">
        <v>55867.3</v>
      </c>
      <c r="AZ6" s="10">
        <v>0</v>
      </c>
      <c r="BA6" s="10">
        <v>0</v>
      </c>
      <c r="BB6" s="10">
        <v>0</v>
      </c>
      <c r="BC6" s="10">
        <v>10076.334</v>
      </c>
      <c r="BD6" s="10">
        <v>3476.445</v>
      </c>
      <c r="BE6" s="10">
        <v>0</v>
      </c>
      <c r="BF6" s="10">
        <v>0</v>
      </c>
      <c r="BG6" s="10">
        <v>2325.475</v>
      </c>
      <c r="BH6" s="10">
        <v>2053.231</v>
      </c>
      <c r="BI6" s="10">
        <v>9716.811</v>
      </c>
      <c r="BJ6" s="10">
        <v>4835.536</v>
      </c>
      <c r="BK6" s="10">
        <v>17092.291</v>
      </c>
      <c r="BL6" s="10">
        <v>0</v>
      </c>
      <c r="BM6" s="10">
        <v>0</v>
      </c>
      <c r="BN6" s="10">
        <v>7603.62</v>
      </c>
      <c r="BO6" s="10">
        <v>895.024</v>
      </c>
      <c r="BP6" s="10"/>
      <c r="BQ6" s="10"/>
      <c r="BR6" s="10"/>
      <c r="BS6" s="114">
        <f>SUM(B6:BO6)</f>
        <v>10760536.959999999</v>
      </c>
      <c r="BT6" s="114">
        <f>SUM(D6+W6+AA6+AB6+AE6+AG6+AO6+AQ6+AS6+AV6+BC6+BD6+BE6+BG6+BJ6+BK6+BL6+BN6+BO6)</f>
        <v>1779817.3750000002</v>
      </c>
      <c r="BU6" s="114">
        <f>SUM(C6+F6+G6+K6+L6+N6+P6+Q6+S6+Z6+AK6+AL6+AU6)</f>
        <v>3265675.781000001</v>
      </c>
      <c r="BV6" s="114">
        <f>SUM(B6+E6+H6+I6+J6+M6+O6+R6+U6+V6+Y6+AC6+AD6+AH6+AJ6+AM6+AN6+AP6+AW6+AX6+AZ6+BB6+BF6+BM6)</f>
        <v>3736895.9129999997</v>
      </c>
      <c r="BW6" s="114">
        <f>SUM(BT6:BV6)</f>
        <v>8782389.069000002</v>
      </c>
      <c r="BX6" s="114">
        <f>SUM(T6+X6+AF6+AI6+AR6+AT6+AY6+BA6+BH6+BI6)</f>
        <v>1978147.891</v>
      </c>
      <c r="BY6" s="31"/>
      <c r="BZ6" s="114">
        <f>SUM(BW6:BX6)</f>
        <v>10760536.960000003</v>
      </c>
    </row>
    <row r="7" spans="1:78" ht="12.75">
      <c r="A7" s="51" t="s">
        <v>369</v>
      </c>
      <c r="B7" s="10">
        <v>2272073.881</v>
      </c>
      <c r="C7" s="10">
        <v>1165963.372</v>
      </c>
      <c r="D7" s="10">
        <v>1196803.572</v>
      </c>
      <c r="E7" s="10">
        <v>983884.085</v>
      </c>
      <c r="F7" s="10">
        <v>986971.963</v>
      </c>
      <c r="G7" s="10">
        <v>501204.145</v>
      </c>
      <c r="H7" s="10">
        <v>319478.928</v>
      </c>
      <c r="I7" s="10">
        <v>366864.055</v>
      </c>
      <c r="J7" s="10">
        <v>331505.201</v>
      </c>
      <c r="K7" s="10">
        <v>497845.073</v>
      </c>
      <c r="L7" s="10">
        <v>412087.287</v>
      </c>
      <c r="M7" s="10">
        <v>207026.564</v>
      </c>
      <c r="N7" s="10">
        <v>321031.562</v>
      </c>
      <c r="O7" s="10">
        <v>339262.069</v>
      </c>
      <c r="P7" s="10">
        <v>286181.542</v>
      </c>
      <c r="Q7" s="10">
        <v>228826.028</v>
      </c>
      <c r="R7" s="10">
        <v>354059.418</v>
      </c>
      <c r="S7" s="10">
        <v>206241.448</v>
      </c>
      <c r="T7" s="10">
        <v>0</v>
      </c>
      <c r="U7" s="10">
        <v>128306.938</v>
      </c>
      <c r="V7" s="10">
        <v>207831.428</v>
      </c>
      <c r="W7" s="10">
        <v>104616.342</v>
      </c>
      <c r="X7" s="10">
        <v>616301.635</v>
      </c>
      <c r="Y7" s="10">
        <v>103763.329</v>
      </c>
      <c r="Z7" s="10">
        <v>170989.404</v>
      </c>
      <c r="AA7" s="10">
        <v>1970343.051</v>
      </c>
      <c r="AB7" s="10">
        <v>248324.199</v>
      </c>
      <c r="AC7" s="10">
        <v>101345.84</v>
      </c>
      <c r="AD7" s="10">
        <v>67557.765</v>
      </c>
      <c r="AE7" s="10">
        <v>0</v>
      </c>
      <c r="AF7" s="10">
        <v>0</v>
      </c>
      <c r="AG7" s="10">
        <v>126999.728</v>
      </c>
      <c r="AH7" s="10">
        <v>61336.302</v>
      </c>
      <c r="AI7" s="10">
        <v>610875</v>
      </c>
      <c r="AJ7" s="10">
        <v>52501.37</v>
      </c>
      <c r="AK7" s="10">
        <v>37043.151</v>
      </c>
      <c r="AL7" s="10">
        <v>52500.797</v>
      </c>
      <c r="AM7" s="10">
        <v>50284.406</v>
      </c>
      <c r="AN7" s="10">
        <v>39880.903</v>
      </c>
      <c r="AO7" s="10">
        <v>25475.059</v>
      </c>
      <c r="AP7" s="10">
        <v>24802.518</v>
      </c>
      <c r="AQ7" s="10">
        <f>33548.242+17512.886</f>
        <v>51061.128</v>
      </c>
      <c r="AR7" s="10">
        <v>0</v>
      </c>
      <c r="AS7" s="10">
        <v>34127.225</v>
      </c>
      <c r="AT7" s="10">
        <v>29004.142</v>
      </c>
      <c r="AU7" s="10">
        <v>31654.799</v>
      </c>
      <c r="AV7" s="10">
        <v>16025.059</v>
      </c>
      <c r="AW7" s="10">
        <v>0</v>
      </c>
      <c r="AX7" s="10">
        <v>0</v>
      </c>
      <c r="AY7" s="10">
        <v>203577.863</v>
      </c>
      <c r="AZ7" s="10">
        <v>0</v>
      </c>
      <c r="BA7" s="10">
        <v>0</v>
      </c>
      <c r="BB7" s="10">
        <v>0</v>
      </c>
      <c r="BC7" s="10">
        <v>15114.461</v>
      </c>
      <c r="BD7" s="10">
        <v>5223.294</v>
      </c>
      <c r="BE7" s="10">
        <v>0</v>
      </c>
      <c r="BF7" s="10">
        <v>0</v>
      </c>
      <c r="BG7" s="10">
        <v>3488.201</v>
      </c>
      <c r="BH7" s="10">
        <v>3079.848</v>
      </c>
      <c r="BI7" s="10">
        <v>0</v>
      </c>
      <c r="BJ7" s="10">
        <v>7253.304</v>
      </c>
      <c r="BK7" s="10">
        <v>42206.003</v>
      </c>
      <c r="BL7" s="10">
        <v>0</v>
      </c>
      <c r="BM7" s="10">
        <v>0</v>
      </c>
      <c r="BN7" s="10">
        <v>11405.827</v>
      </c>
      <c r="BO7" s="10">
        <v>1342.591</v>
      </c>
      <c r="BP7" s="10"/>
      <c r="BQ7" s="10"/>
      <c r="BR7" s="10"/>
      <c r="BS7" s="114">
        <f aca="true" t="shared" si="0" ref="BS7:BS62">SUM(B7:BO7)</f>
        <v>16232953.102999998</v>
      </c>
      <c r="BT7" s="114">
        <f aca="true" t="shared" si="1" ref="BT7:BT62">SUM(D7+W7+AA7+AB7+AE7+AG7+AO7+AQ7+AS7+AV7+BC7+BD7+BE7+BG7+BJ7+BK7+BL7+BN7+BO7)</f>
        <v>3859809.044</v>
      </c>
      <c r="BU7" s="114">
        <f aca="true" t="shared" si="2" ref="BU7:BU62">SUM(C7+F7+G7+K7+L7+N7+P7+Q7+S7+Z7+AK7+AL7+AU7)</f>
        <v>4898540.5709999995</v>
      </c>
      <c r="BV7" s="114">
        <f aca="true" t="shared" si="3" ref="BV7:BV62">SUM(B7+E7+H7+I7+J7+M7+O7+R7+U7+V7+Y7+AC7+AD7+AH7+AJ7+AM7+AN7+AP7+AW7+AX7+AZ7+BB7+BF7+BM7)</f>
        <v>6011765.000000001</v>
      </c>
      <c r="BW7" s="114">
        <f aca="true" t="shared" si="4" ref="BW7:BW62">SUM(BT7:BV7)</f>
        <v>14770114.615000002</v>
      </c>
      <c r="BX7" s="114">
        <f aca="true" t="shared" si="5" ref="BX7:BX62">SUM(T7+X7+AF7+AI7+AR7+AT7+AY7+BA7+BH7+BI7)</f>
        <v>1462838.4880000001</v>
      </c>
      <c r="BY7" s="31"/>
      <c r="BZ7" s="114">
        <f aca="true" t="shared" si="6" ref="BZ7:BZ62">SUM(BW7:BX7)</f>
        <v>16232953.103000002</v>
      </c>
    </row>
    <row r="8" spans="1:78" ht="12.75">
      <c r="A8" s="51" t="s">
        <v>370</v>
      </c>
      <c r="B8" s="10">
        <v>0</v>
      </c>
      <c r="C8" s="10">
        <v>-7821.236</v>
      </c>
      <c r="D8" s="10">
        <v>-7504.988</v>
      </c>
      <c r="E8" s="10">
        <v>-1775.477</v>
      </c>
      <c r="F8" s="10">
        <v>-1935.363</v>
      </c>
      <c r="G8" s="10">
        <v>-8016.628</v>
      </c>
      <c r="H8" s="10">
        <v>-13417.521</v>
      </c>
      <c r="I8" s="10">
        <v>-252074.802</v>
      </c>
      <c r="J8" s="10">
        <v>453.73</v>
      </c>
      <c r="K8" s="10">
        <v>-767.104</v>
      </c>
      <c r="L8" s="10">
        <v>-6731.06</v>
      </c>
      <c r="M8" s="10">
        <v>3116.771</v>
      </c>
      <c r="N8" s="10">
        <v>-2222.733</v>
      </c>
      <c r="O8" s="10">
        <v>-940.848</v>
      </c>
      <c r="P8" s="10">
        <v>-176.344</v>
      </c>
      <c r="Q8" s="10">
        <v>-946.92</v>
      </c>
      <c r="R8" s="10">
        <v>27731.325</v>
      </c>
      <c r="S8" s="10">
        <v>-2229.35</v>
      </c>
      <c r="T8" s="10">
        <v>-73085.207</v>
      </c>
      <c r="U8" s="10">
        <v>-101895.052</v>
      </c>
      <c r="V8" s="10">
        <v>-5913.689</v>
      </c>
      <c r="W8" s="10">
        <v>357.551</v>
      </c>
      <c r="X8" s="10">
        <v>8601.504</v>
      </c>
      <c r="Y8" s="10">
        <v>-1603.358</v>
      </c>
      <c r="Z8" s="10">
        <v>-1691.317</v>
      </c>
      <c r="AA8" s="10">
        <v>0</v>
      </c>
      <c r="AB8" s="10">
        <v>1730.769</v>
      </c>
      <c r="AC8" s="10">
        <v>54.226</v>
      </c>
      <c r="AD8" s="10">
        <v>-62.207</v>
      </c>
      <c r="AE8" s="10">
        <f>-233.386</f>
        <v>-233.386</v>
      </c>
      <c r="AF8" s="10">
        <v>-33016.379</v>
      </c>
      <c r="AG8" s="10">
        <v>0</v>
      </c>
      <c r="AH8" s="10">
        <v>320.439</v>
      </c>
      <c r="AI8" s="10">
        <v>97153</v>
      </c>
      <c r="AJ8" s="10">
        <v>0</v>
      </c>
      <c r="AK8" s="10">
        <v>-1171.115</v>
      </c>
      <c r="AL8" s="10">
        <v>-420.907</v>
      </c>
      <c r="AM8" s="10">
        <v>-31.68</v>
      </c>
      <c r="AN8" s="10">
        <v>0</v>
      </c>
      <c r="AO8" s="10">
        <v>583.546</v>
      </c>
      <c r="AP8" s="10">
        <v>337.883</v>
      </c>
      <c r="AQ8" s="10">
        <v>0</v>
      </c>
      <c r="AR8" s="10">
        <v>0</v>
      </c>
      <c r="AS8" s="10">
        <v>-115.597</v>
      </c>
      <c r="AT8" s="10">
        <v>-46691.428</v>
      </c>
      <c r="AU8" s="10">
        <v>-717.8</v>
      </c>
      <c r="AV8" s="10">
        <v>-1734.067</v>
      </c>
      <c r="AW8" s="10">
        <v>-1378.768</v>
      </c>
      <c r="AX8" s="10">
        <v>0</v>
      </c>
      <c r="AY8" s="10">
        <v>10484.948</v>
      </c>
      <c r="AZ8" s="10">
        <v>0</v>
      </c>
      <c r="BA8" s="10">
        <v>0</v>
      </c>
      <c r="BB8" s="10">
        <v>-1014.483</v>
      </c>
      <c r="BC8" s="10">
        <v>0</v>
      </c>
      <c r="BD8" s="10">
        <v>142.77</v>
      </c>
      <c r="BE8" s="10">
        <v>0</v>
      </c>
      <c r="BF8" s="10">
        <v>0</v>
      </c>
      <c r="BG8" s="10">
        <v>0</v>
      </c>
      <c r="BH8" s="10">
        <v>0</v>
      </c>
      <c r="BI8" s="10">
        <f>-18425.919-1203.101</f>
        <v>-19629.02</v>
      </c>
      <c r="BJ8" s="10">
        <v>0</v>
      </c>
      <c r="BK8" s="10">
        <v>0</v>
      </c>
      <c r="BL8" s="10">
        <v>0</v>
      </c>
      <c r="BM8" s="10">
        <v>0</v>
      </c>
      <c r="BN8" s="10">
        <v>0</v>
      </c>
      <c r="BO8" s="10">
        <v>0</v>
      </c>
      <c r="BP8" s="10"/>
      <c r="BQ8" s="10"/>
      <c r="BR8" s="10"/>
      <c r="BS8" s="114">
        <f t="shared" si="0"/>
        <v>-445897.372</v>
      </c>
      <c r="BT8" s="114">
        <f t="shared" si="1"/>
        <v>-6773.401999999999</v>
      </c>
      <c r="BU8" s="114">
        <f t="shared" si="2"/>
        <v>-34847.877</v>
      </c>
      <c r="BV8" s="114">
        <f t="shared" si="3"/>
        <v>-348093.51099999994</v>
      </c>
      <c r="BW8" s="114">
        <f t="shared" si="4"/>
        <v>-389714.7899999999</v>
      </c>
      <c r="BX8" s="114">
        <f t="shared" si="5"/>
        <v>-56182.581999999995</v>
      </c>
      <c r="BY8" s="31"/>
      <c r="BZ8" s="114">
        <f t="shared" si="6"/>
        <v>-445897.3719999999</v>
      </c>
    </row>
    <row r="9" spans="1:78" ht="12.75">
      <c r="A9" s="51" t="s">
        <v>371</v>
      </c>
      <c r="B9" s="10">
        <v>0</v>
      </c>
      <c r="C9" s="10">
        <v>0</v>
      </c>
      <c r="D9" s="10">
        <f>1994333.893+935716.61</f>
        <v>2930050.503</v>
      </c>
      <c r="E9" s="10">
        <v>0</v>
      </c>
      <c r="F9" s="10">
        <v>0</v>
      </c>
      <c r="G9" s="10">
        <v>0</v>
      </c>
      <c r="H9" s="10">
        <v>0</v>
      </c>
      <c r="I9" s="10">
        <v>6212595.976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202080</v>
      </c>
      <c r="V9" s="10">
        <v>0</v>
      </c>
      <c r="W9" s="10">
        <f>122222.708+20601.909</f>
        <v>142824.617</v>
      </c>
      <c r="X9" s="10">
        <v>0</v>
      </c>
      <c r="Y9" s="10">
        <v>0</v>
      </c>
      <c r="Z9" s="10">
        <v>0</v>
      </c>
      <c r="AA9" s="10">
        <v>0</v>
      </c>
      <c r="AB9" s="10">
        <v>323953.835</v>
      </c>
      <c r="AC9" s="10">
        <v>0</v>
      </c>
      <c r="AD9" s="10">
        <v>0</v>
      </c>
      <c r="AE9" s="10">
        <v>19314.431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18324.954</v>
      </c>
      <c r="AP9" s="10">
        <v>10206.554</v>
      </c>
      <c r="AQ9" s="10">
        <v>0</v>
      </c>
      <c r="AR9" s="10">
        <v>0</v>
      </c>
      <c r="AS9" s="10">
        <v>39008.679</v>
      </c>
      <c r="AT9" s="10">
        <v>0</v>
      </c>
      <c r="AU9" s="10">
        <v>0</v>
      </c>
      <c r="AV9" s="10">
        <v>14546.345</v>
      </c>
      <c r="AW9" s="10">
        <v>916.692</v>
      </c>
      <c r="AX9" s="10">
        <v>0</v>
      </c>
      <c r="AY9" s="10">
        <v>0</v>
      </c>
      <c r="AZ9" s="10">
        <v>6323.72</v>
      </c>
      <c r="BA9" s="10">
        <v>0</v>
      </c>
      <c r="BB9" s="10">
        <v>0</v>
      </c>
      <c r="BC9" s="10">
        <v>9695.401</v>
      </c>
      <c r="BD9" s="10">
        <v>10098.894</v>
      </c>
      <c r="BE9" s="10">
        <v>108268.473</v>
      </c>
      <c r="BF9" s="10">
        <v>0</v>
      </c>
      <c r="BG9" s="10">
        <v>7906.165</v>
      </c>
      <c r="BH9" s="10">
        <v>0</v>
      </c>
      <c r="BI9" s="10">
        <v>0</v>
      </c>
      <c r="BJ9" s="10">
        <v>11132.117</v>
      </c>
      <c r="BK9" s="10">
        <v>0</v>
      </c>
      <c r="BL9" s="10">
        <v>2000</v>
      </c>
      <c r="BM9" s="10">
        <v>0</v>
      </c>
      <c r="BN9" s="10">
        <v>113920.405</v>
      </c>
      <c r="BO9" s="10">
        <v>17327.903</v>
      </c>
      <c r="BP9" s="10"/>
      <c r="BQ9" s="10"/>
      <c r="BR9" s="10"/>
      <c r="BS9" s="114">
        <f t="shared" si="0"/>
        <v>10200495.664</v>
      </c>
      <c r="BT9" s="114">
        <f t="shared" si="1"/>
        <v>3768372.722</v>
      </c>
      <c r="BU9" s="114">
        <f t="shared" si="2"/>
        <v>0</v>
      </c>
      <c r="BV9" s="114">
        <f t="shared" si="3"/>
        <v>6432122.941999999</v>
      </c>
      <c r="BW9" s="114">
        <f t="shared" si="4"/>
        <v>10200495.663999999</v>
      </c>
      <c r="BX9" s="114">
        <f t="shared" si="5"/>
        <v>0</v>
      </c>
      <c r="BY9" s="31"/>
      <c r="BZ9" s="114">
        <f t="shared" si="6"/>
        <v>10200495.663999999</v>
      </c>
    </row>
    <row r="10" spans="1:78" ht="3" customHeight="1">
      <c r="A10" s="50" t="s">
        <v>165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14"/>
      <c r="BT10" s="114">
        <f t="shared" si="1"/>
        <v>0</v>
      </c>
      <c r="BU10" s="114"/>
      <c r="BV10" s="114">
        <f t="shared" si="3"/>
        <v>0</v>
      </c>
      <c r="BW10" s="114"/>
      <c r="BX10" s="114"/>
      <c r="BY10" s="114"/>
      <c r="BZ10" s="114"/>
    </row>
    <row r="11" spans="1:78" ht="12" customHeight="1">
      <c r="A11" s="115" t="s">
        <v>372</v>
      </c>
      <c r="B11" s="110">
        <f aca="true" t="shared" si="7" ref="B11:AN11">SUM(B6:B9)</f>
        <v>3788481.344</v>
      </c>
      <c r="C11" s="110">
        <f t="shared" si="7"/>
        <v>1935451.051</v>
      </c>
      <c r="D11" s="110">
        <f t="shared" si="7"/>
        <v>4847762.765000001</v>
      </c>
      <c r="E11" s="110">
        <f t="shared" si="7"/>
        <v>1637954.584</v>
      </c>
      <c r="F11" s="110">
        <f t="shared" si="7"/>
        <v>1642817.1550000003</v>
      </c>
      <c r="G11" s="110">
        <f t="shared" si="7"/>
        <v>827323.517</v>
      </c>
      <c r="H11" s="110">
        <f t="shared" si="7"/>
        <v>519027.75299999997</v>
      </c>
      <c r="I11" s="110">
        <f t="shared" si="7"/>
        <v>6455851.012999999</v>
      </c>
      <c r="J11" s="110">
        <f t="shared" si="7"/>
        <v>545069.417</v>
      </c>
      <c r="K11" s="110">
        <f t="shared" si="7"/>
        <v>828974.6849999999</v>
      </c>
      <c r="L11" s="110">
        <f t="shared" si="7"/>
        <v>680081.085</v>
      </c>
      <c r="M11" s="110">
        <f t="shared" si="7"/>
        <v>313702.69800000003</v>
      </c>
      <c r="N11" s="110">
        <f t="shared" si="7"/>
        <v>532829.7289999999</v>
      </c>
      <c r="O11" s="110">
        <f t="shared" si="7"/>
        <v>584054.5190000001</v>
      </c>
      <c r="P11" s="110">
        <f t="shared" si="7"/>
        <v>476792.89200000005</v>
      </c>
      <c r="Q11" s="110">
        <f t="shared" si="7"/>
        <v>380429.793</v>
      </c>
      <c r="R11" s="110">
        <f t="shared" si="7"/>
        <v>617830.3559999999</v>
      </c>
      <c r="S11" s="110">
        <f t="shared" si="7"/>
        <v>341690.87200000003</v>
      </c>
      <c r="T11" s="110">
        <f t="shared" si="7"/>
        <v>707592.3970000001</v>
      </c>
      <c r="U11" s="110">
        <f t="shared" si="7"/>
        <v>277338.97400000005</v>
      </c>
      <c r="V11" s="110">
        <f t="shared" si="7"/>
        <v>253875.59600000002</v>
      </c>
      <c r="W11" s="110">
        <f t="shared" si="7"/>
        <v>314212.419</v>
      </c>
      <c r="X11" s="110">
        <f t="shared" si="7"/>
        <v>820067.642</v>
      </c>
      <c r="Y11" s="110">
        <f t="shared" si="7"/>
        <v>171335.52399999998</v>
      </c>
      <c r="Z11" s="110">
        <f t="shared" si="7"/>
        <v>283291.02300000004</v>
      </c>
      <c r="AA11" s="110">
        <f t="shared" si="7"/>
        <v>2665183.353</v>
      </c>
      <c r="AB11" s="110">
        <f t="shared" si="7"/>
        <v>739558.269</v>
      </c>
      <c r="AC11" s="110">
        <f t="shared" si="7"/>
        <v>168963.959</v>
      </c>
      <c r="AD11" s="110">
        <f t="shared" si="7"/>
        <v>110535.73000000001</v>
      </c>
      <c r="AE11" s="110">
        <f t="shared" si="7"/>
        <v>19081.045000000002</v>
      </c>
      <c r="AF11" s="110">
        <f t="shared" si="7"/>
        <v>614699.4580000001</v>
      </c>
      <c r="AG11" s="110">
        <f t="shared" si="7"/>
        <v>126999.728</v>
      </c>
      <c r="AH11" s="110">
        <f t="shared" si="7"/>
        <v>102574.58200000001</v>
      </c>
      <c r="AI11" s="110">
        <f t="shared" si="7"/>
        <v>945453</v>
      </c>
      <c r="AJ11" s="110">
        <f t="shared" si="7"/>
        <v>87502.283</v>
      </c>
      <c r="AK11" s="110">
        <f t="shared" si="7"/>
        <v>60567.469000000005</v>
      </c>
      <c r="AL11" s="110">
        <f t="shared" si="7"/>
        <v>87079.006</v>
      </c>
      <c r="AM11" s="110">
        <f t="shared" si="7"/>
        <v>75394.929</v>
      </c>
      <c r="AN11" s="110">
        <f t="shared" si="7"/>
        <v>66468.17199999999</v>
      </c>
      <c r="AO11" s="110">
        <f>SUM(AO5:AO9)</f>
        <v>61360.327000000005</v>
      </c>
      <c r="AP11" s="110">
        <f aca="true" t="shared" si="8" ref="AP11:BO11">SUM(AP6:AP9)</f>
        <v>51881.75</v>
      </c>
      <c r="AQ11" s="110">
        <f t="shared" si="8"/>
        <v>78944.678</v>
      </c>
      <c r="AR11" s="110">
        <f t="shared" si="8"/>
        <v>34495.3</v>
      </c>
      <c r="AS11" s="110">
        <f t="shared" si="8"/>
        <v>95771.901</v>
      </c>
      <c r="AT11" s="110">
        <f t="shared" si="8"/>
        <v>-2654.9809999999998</v>
      </c>
      <c r="AU11" s="110">
        <f t="shared" si="8"/>
        <v>52040.198</v>
      </c>
      <c r="AV11" s="110">
        <f t="shared" si="8"/>
        <v>39520.72</v>
      </c>
      <c r="AW11" s="110">
        <f t="shared" si="8"/>
        <v>-462.076</v>
      </c>
      <c r="AX11" s="110">
        <f t="shared" si="8"/>
        <v>0</v>
      </c>
      <c r="AY11" s="110">
        <f t="shared" si="8"/>
        <v>269930.111</v>
      </c>
      <c r="AZ11" s="110">
        <f t="shared" si="8"/>
        <v>6323.72</v>
      </c>
      <c r="BA11" s="110">
        <f t="shared" si="8"/>
        <v>0</v>
      </c>
      <c r="BB11" s="110">
        <f t="shared" si="8"/>
        <v>-1014.483</v>
      </c>
      <c r="BC11" s="110">
        <f t="shared" si="8"/>
        <v>34886.195999999996</v>
      </c>
      <c r="BD11" s="110">
        <f t="shared" si="8"/>
        <v>18941.403</v>
      </c>
      <c r="BE11" s="110">
        <f t="shared" si="8"/>
        <v>108268.473</v>
      </c>
      <c r="BF11" s="110">
        <f t="shared" si="8"/>
        <v>0</v>
      </c>
      <c r="BG11" s="110">
        <f t="shared" si="8"/>
        <v>13719.841</v>
      </c>
      <c r="BH11" s="110">
        <f t="shared" si="8"/>
        <v>5133.079</v>
      </c>
      <c r="BI11" s="110">
        <f t="shared" si="8"/>
        <v>-9912.209</v>
      </c>
      <c r="BJ11" s="110">
        <f t="shared" si="8"/>
        <v>23220.957000000002</v>
      </c>
      <c r="BK11" s="110">
        <f t="shared" si="8"/>
        <v>59298.293999999994</v>
      </c>
      <c r="BL11" s="110">
        <f t="shared" si="8"/>
        <v>2000</v>
      </c>
      <c r="BM11" s="110">
        <f t="shared" si="8"/>
        <v>0</v>
      </c>
      <c r="BN11" s="110">
        <f t="shared" si="8"/>
        <v>132929.852</v>
      </c>
      <c r="BO11" s="110">
        <f t="shared" si="8"/>
        <v>19565.517999999996</v>
      </c>
      <c r="BP11" s="110"/>
      <c r="BQ11" s="110"/>
      <c r="BR11" s="110"/>
      <c r="BS11" s="114">
        <f t="shared" si="0"/>
        <v>36748088.355</v>
      </c>
      <c r="BT11" s="114">
        <f t="shared" si="1"/>
        <v>9401225.739</v>
      </c>
      <c r="BU11" s="114">
        <f t="shared" si="2"/>
        <v>8129368.475</v>
      </c>
      <c r="BV11" s="114">
        <f t="shared" si="3"/>
        <v>15832690.344000002</v>
      </c>
      <c r="BW11" s="114">
        <f t="shared" si="4"/>
        <v>33363284.558000006</v>
      </c>
      <c r="BX11" s="114">
        <f t="shared" si="5"/>
        <v>3384803.7970000003</v>
      </c>
      <c r="BY11" s="31"/>
      <c r="BZ11" s="114">
        <f t="shared" si="6"/>
        <v>36748088.355000004</v>
      </c>
    </row>
    <row r="12" spans="1:78" ht="4.5" customHeight="1">
      <c r="A12" s="5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14"/>
      <c r="BT12" s="114"/>
      <c r="BU12" s="114"/>
      <c r="BV12" s="114"/>
      <c r="BW12" s="114"/>
      <c r="BX12" s="114"/>
      <c r="BY12" s="31"/>
      <c r="BZ12" s="114"/>
    </row>
    <row r="13" spans="1:78" ht="12.75">
      <c r="A13" s="52" t="s">
        <v>381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14"/>
      <c r="BT13" s="114"/>
      <c r="BU13" s="114"/>
      <c r="BV13" s="114"/>
      <c r="BW13" s="114"/>
      <c r="BX13" s="114"/>
      <c r="BY13" s="31"/>
      <c r="BZ13" s="114"/>
    </row>
    <row r="14" spans="1:78" ht="12.75">
      <c r="A14" s="51" t="s">
        <v>367</v>
      </c>
      <c r="B14" s="10">
        <v>1218878.399</v>
      </c>
      <c r="C14" s="10">
        <v>1267567.573</v>
      </c>
      <c r="D14" s="10">
        <v>4536439.349</v>
      </c>
      <c r="E14" s="10">
        <v>844465.15</v>
      </c>
      <c r="F14" s="10">
        <v>811341.705</v>
      </c>
      <c r="G14" s="10">
        <v>380263.69</v>
      </c>
      <c r="H14" s="10">
        <v>94491.715</v>
      </c>
      <c r="I14" s="10">
        <v>320265.663</v>
      </c>
      <c r="J14" s="10">
        <v>556299.864</v>
      </c>
      <c r="K14" s="10">
        <v>113625.042</v>
      </c>
      <c r="L14" s="10">
        <v>224520.789</v>
      </c>
      <c r="M14" s="10">
        <v>480804.413</v>
      </c>
      <c r="N14" s="10">
        <v>203481.88</v>
      </c>
      <c r="O14" s="10">
        <v>69906.276</v>
      </c>
      <c r="P14" s="10">
        <v>266839.617</v>
      </c>
      <c r="Q14" s="10">
        <v>168846.17</v>
      </c>
      <c r="R14" s="10">
        <v>51098.743</v>
      </c>
      <c r="S14" s="10">
        <v>190790.157</v>
      </c>
      <c r="T14" s="10">
        <v>40195.864</v>
      </c>
      <c r="U14" s="10">
        <v>142394.439</v>
      </c>
      <c r="V14" s="10">
        <v>128551.951</v>
      </c>
      <c r="W14" s="10">
        <v>299966.752</v>
      </c>
      <c r="X14" s="10">
        <v>33421.819</v>
      </c>
      <c r="Y14" s="10">
        <v>8779.114</v>
      </c>
      <c r="Z14" s="10">
        <v>101926.711</v>
      </c>
      <c r="AA14" s="10">
        <v>0</v>
      </c>
      <c r="AB14" s="10">
        <v>659030.364</v>
      </c>
      <c r="AC14" s="10">
        <v>108143.961</v>
      </c>
      <c r="AD14" s="10">
        <v>98517.107</v>
      </c>
      <c r="AE14" s="10">
        <v>103870.889</v>
      </c>
      <c r="AF14" s="10">
        <v>28965.942</v>
      </c>
      <c r="AG14" s="10">
        <v>39577.814</v>
      </c>
      <c r="AH14" s="10">
        <v>46162.816</v>
      </c>
      <c r="AI14" s="10">
        <v>8042</v>
      </c>
      <c r="AJ14" s="10">
        <v>62297.362</v>
      </c>
      <c r="AK14" s="10">
        <v>27091.602</v>
      </c>
      <c r="AL14" s="10">
        <v>26437.667</v>
      </c>
      <c r="AM14" s="10">
        <v>21721.72</v>
      </c>
      <c r="AN14" s="10">
        <v>14031.289</v>
      </c>
      <c r="AO14" s="10">
        <v>40722.12</v>
      </c>
      <c r="AP14" s="10">
        <v>61639.441</v>
      </c>
      <c r="AQ14" s="10">
        <v>32656.195</v>
      </c>
      <c r="AR14" s="10">
        <v>7762.956</v>
      </c>
      <c r="AS14" s="10">
        <v>83322.171</v>
      </c>
      <c r="AT14" s="10">
        <v>15638.343</v>
      </c>
      <c r="AU14" s="10">
        <v>28682.104</v>
      </c>
      <c r="AV14" s="10">
        <v>39463.303</v>
      </c>
      <c r="AW14" s="10">
        <v>39087.208</v>
      </c>
      <c r="AX14" s="10">
        <v>28113.501</v>
      </c>
      <c r="AY14" s="10">
        <v>1440</v>
      </c>
      <c r="AZ14" s="10">
        <v>34159.959</v>
      </c>
      <c r="BA14" s="10">
        <v>6671.608</v>
      </c>
      <c r="BB14" s="10">
        <v>33525.999</v>
      </c>
      <c r="BC14" s="10">
        <v>32438.567</v>
      </c>
      <c r="BD14" s="10">
        <f>18200.41</f>
        <v>18200.41</v>
      </c>
      <c r="BE14" s="10">
        <v>97784.2</v>
      </c>
      <c r="BF14" s="10">
        <v>15615.442</v>
      </c>
      <c r="BG14" s="10">
        <v>16941.235</v>
      </c>
      <c r="BH14" s="10">
        <v>4035.125</v>
      </c>
      <c r="BI14" s="10">
        <v>141.804</v>
      </c>
      <c r="BJ14" s="10">
        <v>32791.42</v>
      </c>
      <c r="BK14" s="10">
        <v>0</v>
      </c>
      <c r="BL14" s="10">
        <v>4897.387</v>
      </c>
      <c r="BM14" s="10">
        <v>1326.31</v>
      </c>
      <c r="BN14" s="10">
        <v>134240.083</v>
      </c>
      <c r="BO14" s="10">
        <v>19726.68</v>
      </c>
      <c r="BP14" s="10"/>
      <c r="BQ14" s="10"/>
      <c r="BR14" s="10"/>
      <c r="BS14" s="114">
        <f t="shared" si="0"/>
        <v>14630076.949000001</v>
      </c>
      <c r="BT14" s="114">
        <f t="shared" si="1"/>
        <v>6192068.939000002</v>
      </c>
      <c r="BU14" s="114">
        <f t="shared" si="2"/>
        <v>3811414.7069999995</v>
      </c>
      <c r="BV14" s="114">
        <f t="shared" si="3"/>
        <v>4480277.841999998</v>
      </c>
      <c r="BW14" s="114">
        <f t="shared" si="4"/>
        <v>14483761.488</v>
      </c>
      <c r="BX14" s="114">
        <f t="shared" si="5"/>
        <v>146315.461</v>
      </c>
      <c r="BY14" s="31"/>
      <c r="BZ14" s="114">
        <f t="shared" si="6"/>
        <v>14630076.949</v>
      </c>
    </row>
    <row r="15" spans="1:78" ht="12.75">
      <c r="A15" s="51" t="s">
        <v>366</v>
      </c>
      <c r="B15" s="10">
        <v>-6711.584</v>
      </c>
      <c r="C15" s="10">
        <v>-77203.828</v>
      </c>
      <c r="D15" s="10">
        <v>0</v>
      </c>
      <c r="E15" s="10">
        <v>-1444.18</v>
      </c>
      <c r="F15" s="10">
        <v>-19509.042</v>
      </c>
      <c r="G15" s="10">
        <v>-18215.987</v>
      </c>
      <c r="H15" s="10">
        <v>0</v>
      </c>
      <c r="I15" s="10">
        <v>0</v>
      </c>
      <c r="J15" s="10">
        <v>-9565.945</v>
      </c>
      <c r="K15" s="10">
        <v>-602.099</v>
      </c>
      <c r="L15" s="10">
        <v>-8535.046</v>
      </c>
      <c r="M15" s="10">
        <v>-97352.726</v>
      </c>
      <c r="N15" s="10">
        <v>-8033.386</v>
      </c>
      <c r="O15" s="10">
        <v>0</v>
      </c>
      <c r="P15" s="10">
        <v>-12674.196</v>
      </c>
      <c r="Q15" s="10">
        <v>-4535.25</v>
      </c>
      <c r="R15" s="10">
        <v>0</v>
      </c>
      <c r="S15" s="10">
        <v>-9774.102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-5370.342</v>
      </c>
      <c r="AA15" s="10">
        <v>0</v>
      </c>
      <c r="AB15" s="10">
        <v>0</v>
      </c>
      <c r="AC15" s="10">
        <v>-6219.55</v>
      </c>
      <c r="AD15" s="10">
        <v>-566.57</v>
      </c>
      <c r="AE15" s="10">
        <v>0</v>
      </c>
      <c r="AF15" s="10">
        <v>0</v>
      </c>
      <c r="AG15" s="10">
        <v>0</v>
      </c>
      <c r="AH15" s="10">
        <v>-523.732</v>
      </c>
      <c r="AI15" s="10">
        <v>0</v>
      </c>
      <c r="AJ15" s="10">
        <v>0</v>
      </c>
      <c r="AK15" s="10">
        <v>-1527.967</v>
      </c>
      <c r="AL15" s="10">
        <v>-379.243</v>
      </c>
      <c r="AM15" s="10">
        <v>0</v>
      </c>
      <c r="AN15" s="10">
        <v>0</v>
      </c>
      <c r="AO15" s="10">
        <v>0</v>
      </c>
      <c r="AP15" s="10">
        <v>-514.066</v>
      </c>
      <c r="AQ15" s="10">
        <v>0</v>
      </c>
      <c r="AR15" s="10">
        <v>0</v>
      </c>
      <c r="AS15" s="10">
        <v>0</v>
      </c>
      <c r="AT15" s="10">
        <v>0</v>
      </c>
      <c r="AU15" s="10">
        <v>-1703.577</v>
      </c>
      <c r="AV15" s="10">
        <v>0</v>
      </c>
      <c r="AW15" s="10">
        <v>-612.06</v>
      </c>
      <c r="AX15" s="10">
        <v>-16.051</v>
      </c>
      <c r="AY15" s="10">
        <v>0</v>
      </c>
      <c r="AZ15" s="10">
        <v>0</v>
      </c>
      <c r="BA15" s="10">
        <v>0</v>
      </c>
      <c r="BB15" s="10">
        <v>-148.678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v>0</v>
      </c>
      <c r="BN15" s="10">
        <v>0</v>
      </c>
      <c r="BO15" s="10">
        <v>0</v>
      </c>
      <c r="BP15" s="10"/>
      <c r="BQ15" s="10"/>
      <c r="BR15" s="10"/>
      <c r="BS15" s="114">
        <f t="shared" si="0"/>
        <v>-291739.207</v>
      </c>
      <c r="BT15" s="114">
        <f t="shared" si="1"/>
        <v>0</v>
      </c>
      <c r="BU15" s="114">
        <f t="shared" si="2"/>
        <v>-168064.065</v>
      </c>
      <c r="BV15" s="114">
        <f t="shared" si="3"/>
        <v>-123675.14200000002</v>
      </c>
      <c r="BW15" s="114">
        <f t="shared" si="4"/>
        <v>-291739.20700000005</v>
      </c>
      <c r="BX15" s="114">
        <f t="shared" si="5"/>
        <v>0</v>
      </c>
      <c r="BY15" s="31"/>
      <c r="BZ15" s="114">
        <f t="shared" si="6"/>
        <v>-291739.20700000005</v>
      </c>
    </row>
    <row r="16" spans="1:78" ht="12.75">
      <c r="A16" s="51" t="s">
        <v>365</v>
      </c>
      <c r="B16" s="10">
        <v>1364.247</v>
      </c>
      <c r="C16" s="10">
        <v>5320.49</v>
      </c>
      <c r="D16" s="10">
        <v>447.889</v>
      </c>
      <c r="E16" s="10">
        <v>1033.639</v>
      </c>
      <c r="F16" s="10">
        <v>627.589</v>
      </c>
      <c r="G16" s="10">
        <v>2049.858</v>
      </c>
      <c r="H16" s="10">
        <v>267.086</v>
      </c>
      <c r="I16" s="10">
        <v>20.474</v>
      </c>
      <c r="J16" s="10">
        <v>0</v>
      </c>
      <c r="K16" s="10">
        <v>116.56</v>
      </c>
      <c r="L16" s="10">
        <v>1047.776</v>
      </c>
      <c r="M16" s="10">
        <v>530.91</v>
      </c>
      <c r="N16" s="10">
        <v>593.357</v>
      </c>
      <c r="O16" s="10">
        <v>0</v>
      </c>
      <c r="P16" s="10">
        <v>1146.776</v>
      </c>
      <c r="Q16" s="10">
        <v>637.321</v>
      </c>
      <c r="R16" s="10">
        <v>96</v>
      </c>
      <c r="S16" s="10">
        <v>744.096</v>
      </c>
      <c r="T16" s="10">
        <v>0</v>
      </c>
      <c r="U16" s="10">
        <v>0</v>
      </c>
      <c r="V16" s="10">
        <v>105</v>
      </c>
      <c r="W16" s="10">
        <v>31.93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158.104</v>
      </c>
      <c r="AD16" s="10">
        <v>0</v>
      </c>
      <c r="AE16" s="10">
        <v>0</v>
      </c>
      <c r="AF16" s="10">
        <v>0</v>
      </c>
      <c r="AG16" s="10">
        <v>0</v>
      </c>
      <c r="AH16" s="10">
        <v>1.874</v>
      </c>
      <c r="AI16" s="10">
        <v>0</v>
      </c>
      <c r="AJ16" s="10">
        <v>0</v>
      </c>
      <c r="AK16" s="10">
        <v>0</v>
      </c>
      <c r="AL16" s="10">
        <v>37.896</v>
      </c>
      <c r="AM16" s="10">
        <v>1.8</v>
      </c>
      <c r="AN16" s="10">
        <v>0</v>
      </c>
      <c r="AO16" s="10">
        <v>0</v>
      </c>
      <c r="AP16" s="10">
        <v>9</v>
      </c>
      <c r="AQ16" s="10">
        <v>0</v>
      </c>
      <c r="AR16" s="10">
        <v>0</v>
      </c>
      <c r="AS16" s="10">
        <v>0</v>
      </c>
      <c r="AT16" s="10">
        <v>0</v>
      </c>
      <c r="AU16" s="10">
        <v>241.973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v>0</v>
      </c>
      <c r="BN16" s="10">
        <v>0</v>
      </c>
      <c r="BO16" s="10">
        <v>0</v>
      </c>
      <c r="BP16" s="10"/>
      <c r="BQ16" s="10"/>
      <c r="BR16" s="10"/>
      <c r="BS16" s="114">
        <f t="shared" si="0"/>
        <v>16631.645</v>
      </c>
      <c r="BT16" s="114">
        <f t="shared" si="1"/>
        <v>479.819</v>
      </c>
      <c r="BU16" s="114">
        <f t="shared" si="2"/>
        <v>12563.692000000001</v>
      </c>
      <c r="BV16" s="114">
        <f t="shared" si="3"/>
        <v>3588.1339999999996</v>
      </c>
      <c r="BW16" s="114">
        <f t="shared" si="4"/>
        <v>16631.645</v>
      </c>
      <c r="BX16" s="114">
        <f t="shared" si="5"/>
        <v>0</v>
      </c>
      <c r="BY16" s="31"/>
      <c r="BZ16" s="114">
        <f t="shared" si="6"/>
        <v>16631.645</v>
      </c>
    </row>
    <row r="17" spans="1:78" ht="3.75" customHeight="1">
      <c r="A17" s="50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14"/>
      <c r="BT17" s="114"/>
      <c r="BU17" s="114"/>
      <c r="BV17" s="114"/>
      <c r="BW17" s="114"/>
      <c r="BX17" s="114"/>
      <c r="BY17" s="31"/>
      <c r="BZ17" s="114"/>
    </row>
    <row r="18" spans="1:78" ht="12" customHeight="1">
      <c r="A18" s="115" t="s">
        <v>373</v>
      </c>
      <c r="B18" s="110">
        <f aca="true" t="shared" si="9" ref="B18:AG18">SUM(B14:B16)</f>
        <v>1213531.062</v>
      </c>
      <c r="C18" s="110">
        <f t="shared" si="9"/>
        <v>1195684.235</v>
      </c>
      <c r="D18" s="110">
        <f t="shared" si="9"/>
        <v>4536887.238000001</v>
      </c>
      <c r="E18" s="110">
        <f t="shared" si="9"/>
        <v>844054.6089999999</v>
      </c>
      <c r="F18" s="110">
        <f t="shared" si="9"/>
        <v>792460.252</v>
      </c>
      <c r="G18" s="110">
        <f t="shared" si="9"/>
        <v>364097.561</v>
      </c>
      <c r="H18" s="110">
        <f t="shared" si="9"/>
        <v>94758.80099999999</v>
      </c>
      <c r="I18" s="110">
        <f t="shared" si="9"/>
        <v>320286.137</v>
      </c>
      <c r="J18" s="110">
        <f t="shared" si="9"/>
        <v>546733.919</v>
      </c>
      <c r="K18" s="110">
        <f t="shared" si="9"/>
        <v>113139.503</v>
      </c>
      <c r="L18" s="110">
        <f t="shared" si="9"/>
        <v>217033.519</v>
      </c>
      <c r="M18" s="110">
        <f t="shared" si="9"/>
        <v>383982.597</v>
      </c>
      <c r="N18" s="110">
        <f t="shared" si="9"/>
        <v>196041.851</v>
      </c>
      <c r="O18" s="110">
        <f t="shared" si="9"/>
        <v>69906.276</v>
      </c>
      <c r="P18" s="110">
        <f t="shared" si="9"/>
        <v>255312.19700000004</v>
      </c>
      <c r="Q18" s="110">
        <f t="shared" si="9"/>
        <v>164948.241</v>
      </c>
      <c r="R18" s="110">
        <f t="shared" si="9"/>
        <v>51194.743</v>
      </c>
      <c r="S18" s="110">
        <f t="shared" si="9"/>
        <v>181760.15099999998</v>
      </c>
      <c r="T18" s="110">
        <f t="shared" si="9"/>
        <v>40195.864</v>
      </c>
      <c r="U18" s="110">
        <f t="shared" si="9"/>
        <v>142394.439</v>
      </c>
      <c r="V18" s="110">
        <f t="shared" si="9"/>
        <v>128656.951</v>
      </c>
      <c r="W18" s="110">
        <f t="shared" si="9"/>
        <v>299998.682</v>
      </c>
      <c r="X18" s="110">
        <f t="shared" si="9"/>
        <v>33421.819</v>
      </c>
      <c r="Y18" s="110">
        <f t="shared" si="9"/>
        <v>8779.114</v>
      </c>
      <c r="Z18" s="110">
        <f t="shared" si="9"/>
        <v>96556.36899999999</v>
      </c>
      <c r="AA18" s="110">
        <f t="shared" si="9"/>
        <v>0</v>
      </c>
      <c r="AB18" s="110">
        <f t="shared" si="9"/>
        <v>659030.364</v>
      </c>
      <c r="AC18" s="110">
        <f t="shared" si="9"/>
        <v>102082.515</v>
      </c>
      <c r="AD18" s="110">
        <f t="shared" si="9"/>
        <v>97950.537</v>
      </c>
      <c r="AE18" s="110">
        <f t="shared" si="9"/>
        <v>103870.889</v>
      </c>
      <c r="AF18" s="110">
        <f t="shared" si="9"/>
        <v>28965.942</v>
      </c>
      <c r="AG18" s="110">
        <f t="shared" si="9"/>
        <v>39577.814</v>
      </c>
      <c r="AH18" s="110">
        <f aca="true" t="shared" si="10" ref="AH18:BO18">SUM(AH14:AH16)</f>
        <v>45640.958000000006</v>
      </c>
      <c r="AI18" s="110">
        <f t="shared" si="10"/>
        <v>8042</v>
      </c>
      <c r="AJ18" s="110">
        <f t="shared" si="10"/>
        <v>62297.362</v>
      </c>
      <c r="AK18" s="110">
        <f t="shared" si="10"/>
        <v>25563.635</v>
      </c>
      <c r="AL18" s="110">
        <f t="shared" si="10"/>
        <v>26096.320000000003</v>
      </c>
      <c r="AM18" s="110">
        <f t="shared" si="10"/>
        <v>21723.52</v>
      </c>
      <c r="AN18" s="110">
        <f t="shared" si="10"/>
        <v>14031.289</v>
      </c>
      <c r="AO18" s="110">
        <f t="shared" si="10"/>
        <v>40722.12</v>
      </c>
      <c r="AP18" s="110">
        <f t="shared" si="10"/>
        <v>61134.375</v>
      </c>
      <c r="AQ18" s="110">
        <f t="shared" si="10"/>
        <v>32656.195</v>
      </c>
      <c r="AR18" s="110">
        <f t="shared" si="10"/>
        <v>7762.956</v>
      </c>
      <c r="AS18" s="110">
        <f t="shared" si="10"/>
        <v>83322.171</v>
      </c>
      <c r="AT18" s="110">
        <f t="shared" si="10"/>
        <v>15638.343</v>
      </c>
      <c r="AU18" s="110">
        <f t="shared" si="10"/>
        <v>27220.5</v>
      </c>
      <c r="AV18" s="110">
        <f t="shared" si="10"/>
        <v>39463.303</v>
      </c>
      <c r="AW18" s="110">
        <f t="shared" si="10"/>
        <v>38475.148</v>
      </c>
      <c r="AX18" s="110">
        <f t="shared" si="10"/>
        <v>28097.45</v>
      </c>
      <c r="AY18" s="110">
        <f t="shared" si="10"/>
        <v>1440</v>
      </c>
      <c r="AZ18" s="110">
        <f t="shared" si="10"/>
        <v>34159.959</v>
      </c>
      <c r="BA18" s="110">
        <f t="shared" si="10"/>
        <v>6671.608</v>
      </c>
      <c r="BB18" s="110">
        <f t="shared" si="10"/>
        <v>33377.321</v>
      </c>
      <c r="BC18" s="110">
        <f t="shared" si="10"/>
        <v>32438.567</v>
      </c>
      <c r="BD18" s="110">
        <f t="shared" si="10"/>
        <v>18200.41</v>
      </c>
      <c r="BE18" s="110">
        <f t="shared" si="10"/>
        <v>97784.2</v>
      </c>
      <c r="BF18" s="110">
        <f t="shared" si="10"/>
        <v>15615.442</v>
      </c>
      <c r="BG18" s="110">
        <f t="shared" si="10"/>
        <v>16941.235</v>
      </c>
      <c r="BH18" s="110">
        <f t="shared" si="10"/>
        <v>4035.125</v>
      </c>
      <c r="BI18" s="110">
        <f t="shared" si="10"/>
        <v>141.804</v>
      </c>
      <c r="BJ18" s="110">
        <f t="shared" si="10"/>
        <v>32791.42</v>
      </c>
      <c r="BK18" s="110">
        <f t="shared" si="10"/>
        <v>0</v>
      </c>
      <c r="BL18" s="110">
        <f t="shared" si="10"/>
        <v>4897.387</v>
      </c>
      <c r="BM18" s="110">
        <f t="shared" si="10"/>
        <v>1326.31</v>
      </c>
      <c r="BN18" s="110">
        <f t="shared" si="10"/>
        <v>134240.083</v>
      </c>
      <c r="BO18" s="110">
        <f t="shared" si="10"/>
        <v>19726.68</v>
      </c>
      <c r="BP18" s="110"/>
      <c r="BQ18" s="110"/>
      <c r="BR18" s="110"/>
      <c r="BS18" s="114">
        <f t="shared" si="0"/>
        <v>14354969.387000004</v>
      </c>
      <c r="BT18" s="114">
        <f t="shared" si="1"/>
        <v>6192548.758000002</v>
      </c>
      <c r="BU18" s="114">
        <f t="shared" si="2"/>
        <v>3655914.334</v>
      </c>
      <c r="BV18" s="114">
        <f t="shared" si="3"/>
        <v>4360190.834</v>
      </c>
      <c r="BW18" s="114">
        <f t="shared" si="4"/>
        <v>14208653.926000003</v>
      </c>
      <c r="BX18" s="114">
        <f t="shared" si="5"/>
        <v>146315.461</v>
      </c>
      <c r="BY18" s="31"/>
      <c r="BZ18" s="114">
        <f t="shared" si="6"/>
        <v>14354969.387000002</v>
      </c>
    </row>
    <row r="19" spans="1:78" ht="4.5" customHeight="1">
      <c r="A19" s="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14"/>
      <c r="BT19" s="114"/>
      <c r="BU19" s="114"/>
      <c r="BV19" s="114"/>
      <c r="BW19" s="114"/>
      <c r="BX19" s="114"/>
      <c r="BY19" s="31"/>
      <c r="BZ19" s="114"/>
    </row>
    <row r="20" spans="1:78" ht="12.75">
      <c r="A20" s="52" t="s">
        <v>382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114"/>
      <c r="BT20" s="114"/>
      <c r="BU20" s="114"/>
      <c r="BV20" s="114"/>
      <c r="BW20" s="114"/>
      <c r="BX20" s="114"/>
      <c r="BY20" s="36"/>
      <c r="BZ20" s="114"/>
    </row>
    <row r="21" spans="1:78" ht="12.75">
      <c r="A21" s="51" t="s">
        <v>377</v>
      </c>
      <c r="B21" s="10">
        <v>71347.052</v>
      </c>
      <c r="C21" s="10">
        <v>55209.616</v>
      </c>
      <c r="D21" s="10">
        <v>0</v>
      </c>
      <c r="E21" s="10">
        <v>82416.056</v>
      </c>
      <c r="F21" s="10">
        <v>73695.678</v>
      </c>
      <c r="G21" s="10">
        <v>615549.328</v>
      </c>
      <c r="H21" s="10">
        <v>8973.832</v>
      </c>
      <c r="I21" s="10">
        <v>0</v>
      </c>
      <c r="J21" s="10">
        <v>27983.374</v>
      </c>
      <c r="K21" s="10">
        <v>20286.599</v>
      </c>
      <c r="L21" s="10">
        <v>29879.078</v>
      </c>
      <c r="M21" s="10">
        <v>8890.76</v>
      </c>
      <c r="N21" s="10">
        <v>201255.396</v>
      </c>
      <c r="O21" s="10">
        <v>18000.752</v>
      </c>
      <c r="P21" s="10">
        <v>6450.239</v>
      </c>
      <c r="Q21" s="10">
        <v>27069.05</v>
      </c>
      <c r="R21" s="10">
        <v>8599.786</v>
      </c>
      <c r="S21" s="10">
        <v>8997.569</v>
      </c>
      <c r="T21" s="10">
        <v>119382.515</v>
      </c>
      <c r="U21" s="10">
        <v>159449.521</v>
      </c>
      <c r="V21" s="10">
        <v>1470.332</v>
      </c>
      <c r="W21" s="10">
        <v>0</v>
      </c>
      <c r="X21" s="10">
        <v>9786.952</v>
      </c>
      <c r="Y21" s="10">
        <v>0</v>
      </c>
      <c r="Z21" s="10">
        <v>4867.66</v>
      </c>
      <c r="AA21" s="10">
        <v>0</v>
      </c>
      <c r="AB21" s="10">
        <v>0</v>
      </c>
      <c r="AC21" s="10">
        <v>3118.863</v>
      </c>
      <c r="AD21" s="10">
        <v>7838.57</v>
      </c>
      <c r="AE21" s="10">
        <v>111138.143</v>
      </c>
      <c r="AF21" s="10">
        <v>1994.812</v>
      </c>
      <c r="AG21" s="10">
        <v>2150.392</v>
      </c>
      <c r="AH21" s="10">
        <v>37840.43</v>
      </c>
      <c r="AI21" s="10">
        <v>452</v>
      </c>
      <c r="AJ21" s="10">
        <v>1365.317</v>
      </c>
      <c r="AK21" s="10">
        <v>869.04</v>
      </c>
      <c r="AL21" s="10">
        <v>11.876</v>
      </c>
      <c r="AM21" s="10">
        <v>263.055</v>
      </c>
      <c r="AN21" s="10">
        <v>0</v>
      </c>
      <c r="AO21" s="10">
        <v>138.7</v>
      </c>
      <c r="AP21" s="10">
        <v>815.466</v>
      </c>
      <c r="AQ21" s="10">
        <v>5467.987</v>
      </c>
      <c r="AR21" s="10">
        <v>1543.068</v>
      </c>
      <c r="AS21" s="10">
        <v>14529.592</v>
      </c>
      <c r="AT21" s="10">
        <v>0</v>
      </c>
      <c r="AU21" s="10">
        <v>141.521</v>
      </c>
      <c r="AV21" s="10">
        <v>0</v>
      </c>
      <c r="AW21" s="10">
        <v>0</v>
      </c>
      <c r="AX21" s="10">
        <v>235.931</v>
      </c>
      <c r="AY21" s="10">
        <v>50.317</v>
      </c>
      <c r="AZ21" s="10">
        <v>0</v>
      </c>
      <c r="BA21" s="10">
        <v>608.01</v>
      </c>
      <c r="BB21" s="10">
        <v>0</v>
      </c>
      <c r="BC21" s="10">
        <v>346.5</v>
      </c>
      <c r="BD21" s="10">
        <v>0</v>
      </c>
      <c r="BE21" s="10">
        <v>0</v>
      </c>
      <c r="BF21" s="10">
        <v>0</v>
      </c>
      <c r="BG21" s="10">
        <v>-2862</v>
      </c>
      <c r="BH21" s="10">
        <v>1.4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/>
      <c r="BQ21" s="10"/>
      <c r="BR21" s="10"/>
      <c r="BS21" s="114">
        <f t="shared" si="0"/>
        <v>1747620.1349999995</v>
      </c>
      <c r="BT21" s="114">
        <f t="shared" si="1"/>
        <v>130909.31399999998</v>
      </c>
      <c r="BU21" s="114">
        <f t="shared" si="2"/>
        <v>1044282.6500000001</v>
      </c>
      <c r="BV21" s="114">
        <f t="shared" si="3"/>
        <v>438609.097</v>
      </c>
      <c r="BW21" s="114">
        <f t="shared" si="4"/>
        <v>1613801.0610000002</v>
      </c>
      <c r="BX21" s="114">
        <f t="shared" si="5"/>
        <v>133819.07400000002</v>
      </c>
      <c r="BY21" s="31"/>
      <c r="BZ21" s="114">
        <f t="shared" si="6"/>
        <v>1747620.1350000002</v>
      </c>
    </row>
    <row r="22" spans="1:78" ht="12.75">
      <c r="A22" s="51" t="s">
        <v>378</v>
      </c>
      <c r="B22" s="10">
        <v>617.71</v>
      </c>
      <c r="C22" s="10">
        <v>244.542</v>
      </c>
      <c r="D22" s="10">
        <v>729.028</v>
      </c>
      <c r="E22" s="10">
        <v>948.564</v>
      </c>
      <c r="F22" s="10">
        <v>3049.285</v>
      </c>
      <c r="G22" s="10">
        <v>0</v>
      </c>
      <c r="H22" s="10">
        <v>0</v>
      </c>
      <c r="I22" s="10">
        <v>0</v>
      </c>
      <c r="J22" s="10">
        <v>-4317.559</v>
      </c>
      <c r="K22" s="10">
        <v>0</v>
      </c>
      <c r="L22" s="10">
        <v>0</v>
      </c>
      <c r="M22" s="10">
        <v>0</v>
      </c>
      <c r="N22" s="10">
        <v>880.175</v>
      </c>
      <c r="O22" s="10">
        <v>0</v>
      </c>
      <c r="P22" s="10">
        <v>0</v>
      </c>
      <c r="Q22" s="10">
        <v>0</v>
      </c>
      <c r="R22" s="10">
        <v>2093.083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13.161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114">
        <f t="shared" si="0"/>
        <v>4257.989</v>
      </c>
      <c r="BT22" s="114">
        <f t="shared" si="1"/>
        <v>729.028</v>
      </c>
      <c r="BU22" s="114">
        <f t="shared" si="2"/>
        <v>4187.163</v>
      </c>
      <c r="BV22" s="114">
        <f t="shared" si="3"/>
        <v>-658.2020000000002</v>
      </c>
      <c r="BW22" s="114">
        <f t="shared" si="4"/>
        <v>4257.989</v>
      </c>
      <c r="BX22" s="114">
        <f t="shared" si="5"/>
        <v>0</v>
      </c>
      <c r="BY22" s="31"/>
      <c r="BZ22" s="114">
        <f t="shared" si="6"/>
        <v>4257.989</v>
      </c>
    </row>
    <row r="23" spans="1:78" ht="12.75">
      <c r="A23" s="51" t="s">
        <v>364</v>
      </c>
      <c r="B23" s="10">
        <v>4933030.085</v>
      </c>
      <c r="C23" s="10">
        <v>3291340.055</v>
      </c>
      <c r="D23" s="10">
        <v>2514871.835</v>
      </c>
      <c r="E23" s="10">
        <v>2635534.72</v>
      </c>
      <c r="F23" s="10">
        <v>2377622.452</v>
      </c>
      <c r="G23" s="10">
        <f>845906.083+69688.313</f>
        <v>915594.396</v>
      </c>
      <c r="H23" s="10">
        <v>1019018.871</v>
      </c>
      <c r="I23" s="10">
        <v>1025093.565</v>
      </c>
      <c r="J23" s="10">
        <v>952049.16</v>
      </c>
      <c r="K23" s="10">
        <v>665071.821</v>
      </c>
      <c r="L23" s="10">
        <v>353291.499</v>
      </c>
      <c r="M23" s="10">
        <v>926267.51</v>
      </c>
      <c r="N23" s="10">
        <v>624864.549</v>
      </c>
      <c r="O23" s="10">
        <f>756324.637+519.905</f>
        <v>756844.542</v>
      </c>
      <c r="P23" s="10">
        <v>779265.153</v>
      </c>
      <c r="Q23" s="10">
        <v>584959.228</v>
      </c>
      <c r="R23" s="10">
        <v>800612.155</v>
      </c>
      <c r="S23" s="10">
        <v>410576.985</v>
      </c>
      <c r="T23" s="10">
        <v>422156.684</v>
      </c>
      <c r="U23" s="10">
        <v>378504.408</v>
      </c>
      <c r="V23" s="10">
        <v>402277.509</v>
      </c>
      <c r="W23" s="10">
        <v>347998.284</v>
      </c>
      <c r="X23" s="10">
        <v>356501.971</v>
      </c>
      <c r="Y23" s="10">
        <v>125844.446</v>
      </c>
      <c r="Z23" s="10">
        <v>301072.395</v>
      </c>
      <c r="AA23" s="10">
        <v>174319.821</v>
      </c>
      <c r="AB23" s="10">
        <f>119106.009+43854.12</f>
        <v>162960.12900000002</v>
      </c>
      <c r="AC23" s="10">
        <v>203832.848</v>
      </c>
      <c r="AD23" s="10">
        <f>174477.426-3478.322</f>
        <v>170999.104</v>
      </c>
      <c r="AE23" s="10">
        <v>156052.653</v>
      </c>
      <c r="AF23" s="10">
        <v>198931.446</v>
      </c>
      <c r="AG23" s="10">
        <v>233695.218</v>
      </c>
      <c r="AH23" s="10">
        <f>76974.84-28511.933</f>
        <v>48462.90699999999</v>
      </c>
      <c r="AI23" s="10">
        <v>140674</v>
      </c>
      <c r="AJ23" s="10">
        <v>131198.131</v>
      </c>
      <c r="AK23" s="10">
        <v>127348.08</v>
      </c>
      <c r="AL23" s="10">
        <v>95000.004</v>
      </c>
      <c r="AM23" s="10">
        <v>142999.002</v>
      </c>
      <c r="AN23" s="10">
        <v>140930.546</v>
      </c>
      <c r="AO23" s="10">
        <v>90954.672</v>
      </c>
      <c r="AP23" s="10">
        <v>73463.435</v>
      </c>
      <c r="AQ23" s="10">
        <f>74138.005+440.57</f>
        <v>74578.57500000001</v>
      </c>
      <c r="AR23" s="10">
        <v>86997.317</v>
      </c>
      <c r="AS23" s="10">
        <v>51879.622</v>
      </c>
      <c r="AT23" s="10">
        <v>73638.613</v>
      </c>
      <c r="AU23" s="10">
        <v>51946.533</v>
      </c>
      <c r="AV23" s="10">
        <v>46882.864</v>
      </c>
      <c r="AW23" s="10">
        <f>52226.49+8.88</f>
        <v>52235.369999999995</v>
      </c>
      <c r="AX23" s="10">
        <v>39355.253</v>
      </c>
      <c r="AY23" s="10">
        <v>21795.47</v>
      </c>
      <c r="AZ23" s="10">
        <v>33994.235</v>
      </c>
      <c r="BA23" s="10">
        <v>39136.543</v>
      </c>
      <c r="BB23" s="10">
        <v>35593.029</v>
      </c>
      <c r="BC23" s="10">
        <v>26737.247</v>
      </c>
      <c r="BD23" s="10">
        <v>14904.263</v>
      </c>
      <c r="BE23" s="10">
        <v>11581.368</v>
      </c>
      <c r="BF23" s="10">
        <v>13408.795</v>
      </c>
      <c r="BG23" s="10">
        <v>10087.207</v>
      </c>
      <c r="BH23" s="10">
        <v>12734.921</v>
      </c>
      <c r="BI23" s="10">
        <v>7636.51</v>
      </c>
      <c r="BJ23" s="10">
        <v>5806.107</v>
      </c>
      <c r="BK23" s="10">
        <v>156.933</v>
      </c>
      <c r="BL23" s="10">
        <v>2313.351</v>
      </c>
      <c r="BM23" s="10">
        <f>978.836+37.202</f>
        <v>1016.038</v>
      </c>
      <c r="BN23" s="10">
        <v>2947.044</v>
      </c>
      <c r="BO23" s="10">
        <v>466.356</v>
      </c>
      <c r="BP23" s="10"/>
      <c r="BQ23" s="10"/>
      <c r="BR23" s="10"/>
      <c r="BS23" s="114">
        <f t="shared" si="0"/>
        <v>30909915.838000003</v>
      </c>
      <c r="BT23" s="114">
        <f t="shared" si="1"/>
        <v>3929193.5489999996</v>
      </c>
      <c r="BU23" s="114">
        <f t="shared" si="2"/>
        <v>10577953.149999999</v>
      </c>
      <c r="BV23" s="114">
        <f t="shared" si="3"/>
        <v>15042565.663999995</v>
      </c>
      <c r="BW23" s="114">
        <f t="shared" si="4"/>
        <v>29549712.36299999</v>
      </c>
      <c r="BX23" s="114">
        <f t="shared" si="5"/>
        <v>1360203.475</v>
      </c>
      <c r="BY23" s="31"/>
      <c r="BZ23" s="114">
        <f t="shared" si="6"/>
        <v>30909915.837999992</v>
      </c>
    </row>
    <row r="24" spans="1:78" ht="12.75">
      <c r="A24" s="51" t="s">
        <v>431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41770.029</v>
      </c>
      <c r="I24" s="10">
        <v>0</v>
      </c>
      <c r="J24" s="10">
        <v>0</v>
      </c>
      <c r="K24" s="10">
        <v>24002.661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11985.889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1.472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792.56</v>
      </c>
      <c r="BB24" s="10">
        <v>0</v>
      </c>
      <c r="BC24" s="10">
        <v>71.673</v>
      </c>
      <c r="BD24" s="10">
        <v>0</v>
      </c>
      <c r="BE24" s="10">
        <v>0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/>
      <c r="BQ24" s="10"/>
      <c r="BR24" s="10"/>
      <c r="BS24" s="114">
        <f t="shared" si="0"/>
        <v>78624.28399999999</v>
      </c>
      <c r="BT24" s="114">
        <f t="shared" si="1"/>
        <v>71.673</v>
      </c>
      <c r="BU24" s="114">
        <f t="shared" si="2"/>
        <v>35990.022000000004</v>
      </c>
      <c r="BV24" s="114">
        <f t="shared" si="3"/>
        <v>41770.029</v>
      </c>
      <c r="BW24" s="114">
        <f t="shared" si="4"/>
        <v>77831.72400000002</v>
      </c>
      <c r="BX24" s="114">
        <f t="shared" si="5"/>
        <v>792.56</v>
      </c>
      <c r="BY24" s="31"/>
      <c r="BZ24" s="114">
        <f t="shared" si="6"/>
        <v>78624.28400000001</v>
      </c>
    </row>
    <row r="25" spans="1:78" ht="12.75">
      <c r="A25" s="51" t="s">
        <v>363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2917.679</v>
      </c>
      <c r="I25" s="10">
        <v>0</v>
      </c>
      <c r="J25" s="10">
        <v>20207.255</v>
      </c>
      <c r="K25" s="10">
        <v>0</v>
      </c>
      <c r="L25" s="10">
        <v>0</v>
      </c>
      <c r="M25" s="10">
        <v>0</v>
      </c>
      <c r="N25" s="10">
        <v>0</v>
      </c>
      <c r="O25" s="10">
        <v>1024.638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785.01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37.294</v>
      </c>
      <c r="BC25" s="10">
        <v>0</v>
      </c>
      <c r="BD25" s="10">
        <v>0</v>
      </c>
      <c r="BE25" s="10">
        <v>0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v>0</v>
      </c>
      <c r="BN25" s="10">
        <v>0</v>
      </c>
      <c r="BO25" s="10">
        <v>0</v>
      </c>
      <c r="BP25" s="10"/>
      <c r="BQ25" s="10"/>
      <c r="BR25" s="10"/>
      <c r="BS25" s="114">
        <f t="shared" si="0"/>
        <v>24971.876</v>
      </c>
      <c r="BT25" s="114">
        <f t="shared" si="1"/>
        <v>0</v>
      </c>
      <c r="BU25" s="114">
        <f t="shared" si="2"/>
        <v>785.01</v>
      </c>
      <c r="BV25" s="114">
        <f t="shared" si="3"/>
        <v>24186.866</v>
      </c>
      <c r="BW25" s="114">
        <f t="shared" si="4"/>
        <v>24971.876</v>
      </c>
      <c r="BX25" s="114">
        <f t="shared" si="5"/>
        <v>0</v>
      </c>
      <c r="BY25" s="31"/>
      <c r="BZ25" s="114">
        <f t="shared" si="6"/>
        <v>24971.876</v>
      </c>
    </row>
    <row r="26" spans="1:78" ht="12.75">
      <c r="A26" s="51" t="s">
        <v>362</v>
      </c>
      <c r="B26" s="10">
        <v>-647025.735</v>
      </c>
      <c r="C26" s="10">
        <v>-427680.755</v>
      </c>
      <c r="D26" s="10">
        <v>-432737.551</v>
      </c>
      <c r="E26" s="10">
        <v>-371513.225</v>
      </c>
      <c r="F26" s="10">
        <v>-358501.479</v>
      </c>
      <c r="G26" s="10">
        <v>-169057.055</v>
      </c>
      <c r="H26" s="10">
        <v>-166261.873</v>
      </c>
      <c r="I26" s="10">
        <v>-168828.763</v>
      </c>
      <c r="J26" s="10">
        <v>-136869.978</v>
      </c>
      <c r="K26" s="10">
        <v>-130242.47</v>
      </c>
      <c r="L26" s="10">
        <v>-135238.234</v>
      </c>
      <c r="M26" s="10">
        <v>-117270.246</v>
      </c>
      <c r="N26" s="10">
        <v>-112882.713</v>
      </c>
      <c r="O26" s="10">
        <v>-101414.233</v>
      </c>
      <c r="P26" s="10">
        <v>-110272.73</v>
      </c>
      <c r="Q26" s="10">
        <v>-89950.822</v>
      </c>
      <c r="R26" s="10">
        <v>-81310.857</v>
      </c>
      <c r="S26" s="10">
        <v>-63393.455</v>
      </c>
      <c r="T26" s="10">
        <v>-57595.356</v>
      </c>
      <c r="U26" s="10">
        <v>-61335.56</v>
      </c>
      <c r="V26" s="10">
        <v>-62008.801</v>
      </c>
      <c r="W26" s="10">
        <v>-55087.908</v>
      </c>
      <c r="X26" s="10">
        <v>-45015.263</v>
      </c>
      <c r="Y26" s="10">
        <v>5770.635</v>
      </c>
      <c r="Z26" s="10">
        <v>-52543.662</v>
      </c>
      <c r="AA26" s="10">
        <v>-16261.874</v>
      </c>
      <c r="AB26" s="10">
        <v>-31755.414</v>
      </c>
      <c r="AC26" s="10">
        <v>-30526.961</v>
      </c>
      <c r="AD26" s="10">
        <v>-29846.193</v>
      </c>
      <c r="AE26" s="10">
        <v>-27764.458</v>
      </c>
      <c r="AF26" s="10">
        <v>-22370.035</v>
      </c>
      <c r="AG26" s="10">
        <v>-25389.14</v>
      </c>
      <c r="AH26" s="10">
        <v>-25893.778</v>
      </c>
      <c r="AI26" s="10">
        <v>-17324</v>
      </c>
      <c r="AJ26" s="10">
        <v>-19900.421</v>
      </c>
      <c r="AK26" s="10">
        <v>-19774.317</v>
      </c>
      <c r="AL26" s="10">
        <v>-16360.87</v>
      </c>
      <c r="AM26" s="10">
        <v>-17803.626</v>
      </c>
      <c r="AN26" s="10">
        <v>-14741.067</v>
      </c>
      <c r="AO26" s="10">
        <v>-12673.409</v>
      </c>
      <c r="AP26" s="10">
        <v>-12774.987</v>
      </c>
      <c r="AQ26" s="10">
        <f>-10764.118+-74.286</f>
        <v>-10838.404</v>
      </c>
      <c r="AR26" s="10">
        <v>-9605.457</v>
      </c>
      <c r="AS26" s="10">
        <v>-10074.43</v>
      </c>
      <c r="AT26" s="10">
        <v>-10158.116</v>
      </c>
      <c r="AU26" s="10">
        <v>-9462.132</v>
      </c>
      <c r="AV26" s="10">
        <v>-7813.012</v>
      </c>
      <c r="AW26" s="10">
        <v>-7727.921</v>
      </c>
      <c r="AX26" s="10">
        <v>-6678.719</v>
      </c>
      <c r="AY26" s="10">
        <v>-2839.477</v>
      </c>
      <c r="AZ26" s="10">
        <v>-5429.784</v>
      </c>
      <c r="BA26" s="10">
        <v>-4997.393</v>
      </c>
      <c r="BB26" s="10">
        <v>-4966.519</v>
      </c>
      <c r="BC26" s="10">
        <v>-4490.052</v>
      </c>
      <c r="BD26" s="10">
        <v>-2990.944</v>
      </c>
      <c r="BE26" s="10">
        <v>-2361.458</v>
      </c>
      <c r="BF26" s="10">
        <v>-2102.299</v>
      </c>
      <c r="BG26" s="10">
        <v>-1903.089</v>
      </c>
      <c r="BH26" s="10">
        <v>-1794.247</v>
      </c>
      <c r="BI26" s="10">
        <v>-1724.54</v>
      </c>
      <c r="BJ26" s="10">
        <v>-1224.409</v>
      </c>
      <c r="BK26" s="10">
        <v>-18.888</v>
      </c>
      <c r="BL26" s="10">
        <v>-454.884</v>
      </c>
      <c r="BM26" s="10">
        <v>-140.504</v>
      </c>
      <c r="BN26" s="10">
        <v>0</v>
      </c>
      <c r="BO26" s="10">
        <v>0</v>
      </c>
      <c r="BP26" s="10"/>
      <c r="BQ26" s="10"/>
      <c r="BR26" s="10"/>
      <c r="BS26" s="114">
        <f t="shared" si="0"/>
        <v>-4599225.317</v>
      </c>
      <c r="BT26" s="114">
        <f t="shared" si="1"/>
        <v>-643839.324</v>
      </c>
      <c r="BU26" s="114">
        <f t="shared" si="2"/>
        <v>-1695360.694</v>
      </c>
      <c r="BV26" s="114">
        <f t="shared" si="3"/>
        <v>-2086601.4150000003</v>
      </c>
      <c r="BW26" s="114">
        <f t="shared" si="4"/>
        <v>-4425801.433</v>
      </c>
      <c r="BX26" s="114">
        <f t="shared" si="5"/>
        <v>-173423.88400000005</v>
      </c>
      <c r="BY26" s="31"/>
      <c r="BZ26" s="114">
        <f t="shared" si="6"/>
        <v>-4599225.317</v>
      </c>
    </row>
    <row r="27" spans="1:78" ht="3" customHeight="1">
      <c r="A27" s="50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14"/>
      <c r="BT27" s="114"/>
      <c r="BU27" s="114"/>
      <c r="BV27" s="114"/>
      <c r="BW27" s="114"/>
      <c r="BX27" s="114"/>
      <c r="BY27" s="31"/>
      <c r="BZ27" s="114"/>
    </row>
    <row r="28" spans="1:78" ht="12" customHeight="1">
      <c r="A28" s="115" t="s">
        <v>374</v>
      </c>
      <c r="B28" s="110">
        <f aca="true" t="shared" si="11" ref="B28:AG28">SUM(B21:B26)</f>
        <v>4357969.112</v>
      </c>
      <c r="C28" s="110">
        <f t="shared" si="11"/>
        <v>2919113.458</v>
      </c>
      <c r="D28" s="110">
        <f t="shared" si="11"/>
        <v>2082863.312</v>
      </c>
      <c r="E28" s="110">
        <f t="shared" si="11"/>
        <v>2347386.115</v>
      </c>
      <c r="F28" s="110">
        <f t="shared" si="11"/>
        <v>2095865.936</v>
      </c>
      <c r="G28" s="110">
        <f t="shared" si="11"/>
        <v>1362086.669</v>
      </c>
      <c r="H28" s="110">
        <f t="shared" si="11"/>
        <v>906418.5380000001</v>
      </c>
      <c r="I28" s="110">
        <f t="shared" si="11"/>
        <v>856264.8019999999</v>
      </c>
      <c r="J28" s="110">
        <f t="shared" si="11"/>
        <v>859052.252</v>
      </c>
      <c r="K28" s="110">
        <f t="shared" si="11"/>
        <v>579118.611</v>
      </c>
      <c r="L28" s="110">
        <f t="shared" si="11"/>
        <v>247932.343</v>
      </c>
      <c r="M28" s="110">
        <f t="shared" si="11"/>
        <v>817888.024</v>
      </c>
      <c r="N28" s="110">
        <f t="shared" si="11"/>
        <v>714117.407</v>
      </c>
      <c r="O28" s="110">
        <f t="shared" si="11"/>
        <v>674455.699</v>
      </c>
      <c r="P28" s="110">
        <f t="shared" si="11"/>
        <v>675442.662</v>
      </c>
      <c r="Q28" s="110">
        <f t="shared" si="11"/>
        <v>534063.345</v>
      </c>
      <c r="R28" s="110">
        <f t="shared" si="11"/>
        <v>729994.167</v>
      </c>
      <c r="S28" s="110">
        <f t="shared" si="11"/>
        <v>356181.099</v>
      </c>
      <c r="T28" s="110">
        <f t="shared" si="11"/>
        <v>483943.843</v>
      </c>
      <c r="U28" s="110">
        <f t="shared" si="11"/>
        <v>476618.369</v>
      </c>
      <c r="V28" s="110">
        <f t="shared" si="11"/>
        <v>341739.04000000004</v>
      </c>
      <c r="W28" s="110">
        <f t="shared" si="11"/>
        <v>292910.376</v>
      </c>
      <c r="X28" s="110">
        <f t="shared" si="11"/>
        <v>321273.66000000003</v>
      </c>
      <c r="Y28" s="110">
        <f t="shared" si="11"/>
        <v>131615.081</v>
      </c>
      <c r="Z28" s="110">
        <f t="shared" si="11"/>
        <v>253396.39299999998</v>
      </c>
      <c r="AA28" s="110">
        <f t="shared" si="11"/>
        <v>158057.947</v>
      </c>
      <c r="AB28" s="110">
        <f t="shared" si="11"/>
        <v>131204.71500000003</v>
      </c>
      <c r="AC28" s="110">
        <f t="shared" si="11"/>
        <v>176424.75</v>
      </c>
      <c r="AD28" s="110">
        <f t="shared" si="11"/>
        <v>148991.481</v>
      </c>
      <c r="AE28" s="110">
        <f t="shared" si="11"/>
        <v>239426.338</v>
      </c>
      <c r="AF28" s="110">
        <f t="shared" si="11"/>
        <v>178556.223</v>
      </c>
      <c r="AG28" s="110">
        <f t="shared" si="11"/>
        <v>210456.46999999997</v>
      </c>
      <c r="AH28" s="110">
        <f aca="true" t="shared" si="12" ref="AH28:BO28">SUM(AH21:AH26)</f>
        <v>60409.559</v>
      </c>
      <c r="AI28" s="110">
        <f t="shared" si="12"/>
        <v>123802</v>
      </c>
      <c r="AJ28" s="110">
        <f t="shared" si="12"/>
        <v>112663.027</v>
      </c>
      <c r="AK28" s="110">
        <f t="shared" si="12"/>
        <v>109227.813</v>
      </c>
      <c r="AL28" s="110">
        <f t="shared" si="12"/>
        <v>78652.482</v>
      </c>
      <c r="AM28" s="110">
        <f t="shared" si="12"/>
        <v>125458.431</v>
      </c>
      <c r="AN28" s="110">
        <f t="shared" si="12"/>
        <v>126189.479</v>
      </c>
      <c r="AO28" s="110">
        <f t="shared" si="12"/>
        <v>78419.963</v>
      </c>
      <c r="AP28" s="110">
        <f t="shared" si="12"/>
        <v>61503.914</v>
      </c>
      <c r="AQ28" s="110">
        <f t="shared" si="12"/>
        <v>69208.15800000001</v>
      </c>
      <c r="AR28" s="110">
        <f t="shared" si="12"/>
        <v>78934.928</v>
      </c>
      <c r="AS28" s="110">
        <f t="shared" si="12"/>
        <v>56334.78400000001</v>
      </c>
      <c r="AT28" s="110">
        <f t="shared" si="12"/>
        <v>63480.496999999996</v>
      </c>
      <c r="AU28" s="110">
        <f t="shared" si="12"/>
        <v>42639.083000000006</v>
      </c>
      <c r="AV28" s="110">
        <f t="shared" si="12"/>
        <v>39069.852</v>
      </c>
      <c r="AW28" s="110">
        <f t="shared" si="12"/>
        <v>44507.44899999999</v>
      </c>
      <c r="AX28" s="110">
        <f t="shared" si="12"/>
        <v>32912.465</v>
      </c>
      <c r="AY28" s="110">
        <f t="shared" si="12"/>
        <v>19006.31</v>
      </c>
      <c r="AZ28" s="110">
        <f t="shared" si="12"/>
        <v>28564.451</v>
      </c>
      <c r="BA28" s="110">
        <f t="shared" si="12"/>
        <v>35539.72</v>
      </c>
      <c r="BB28" s="110">
        <f t="shared" si="12"/>
        <v>30663.804000000004</v>
      </c>
      <c r="BC28" s="110">
        <f t="shared" si="12"/>
        <v>22665.368</v>
      </c>
      <c r="BD28" s="110">
        <f t="shared" si="12"/>
        <v>11913.319000000001</v>
      </c>
      <c r="BE28" s="110">
        <f t="shared" si="12"/>
        <v>9219.91</v>
      </c>
      <c r="BF28" s="110">
        <f t="shared" si="12"/>
        <v>11306.496</v>
      </c>
      <c r="BG28" s="110">
        <f t="shared" si="12"/>
        <v>5322.118</v>
      </c>
      <c r="BH28" s="110">
        <f t="shared" si="12"/>
        <v>10942.074</v>
      </c>
      <c r="BI28" s="110">
        <f t="shared" si="12"/>
        <v>5911.97</v>
      </c>
      <c r="BJ28" s="110">
        <f t="shared" si="12"/>
        <v>4581.698</v>
      </c>
      <c r="BK28" s="110">
        <f t="shared" si="12"/>
        <v>138.045</v>
      </c>
      <c r="BL28" s="110">
        <f t="shared" si="12"/>
        <v>1858.467</v>
      </c>
      <c r="BM28" s="110">
        <f t="shared" si="12"/>
        <v>875.534</v>
      </c>
      <c r="BN28" s="110">
        <f t="shared" si="12"/>
        <v>2947.044</v>
      </c>
      <c r="BO28" s="110">
        <f t="shared" si="12"/>
        <v>466.356</v>
      </c>
      <c r="BP28" s="110"/>
      <c r="BQ28" s="110"/>
      <c r="BR28" s="110"/>
      <c r="BS28" s="114">
        <f t="shared" si="0"/>
        <v>28166164.805000003</v>
      </c>
      <c r="BT28" s="114">
        <f t="shared" si="1"/>
        <v>3417064.2399999998</v>
      </c>
      <c r="BU28" s="114">
        <f t="shared" si="2"/>
        <v>9967837.301</v>
      </c>
      <c r="BV28" s="114">
        <f t="shared" si="3"/>
        <v>13459872.039</v>
      </c>
      <c r="BW28" s="114">
        <f t="shared" si="4"/>
        <v>26844773.580000002</v>
      </c>
      <c r="BX28" s="114">
        <f t="shared" si="5"/>
        <v>1321391.225</v>
      </c>
      <c r="BY28" s="31"/>
      <c r="BZ28" s="114">
        <f t="shared" si="6"/>
        <v>28166164.805000003</v>
      </c>
    </row>
    <row r="29" spans="1:78" ht="3.75" customHeight="1">
      <c r="A29" s="5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14"/>
      <c r="BT29" s="114"/>
      <c r="BU29" s="114"/>
      <c r="BV29" s="114"/>
      <c r="BW29" s="114"/>
      <c r="BX29" s="114"/>
      <c r="BY29" s="31"/>
      <c r="BZ29" s="114"/>
    </row>
    <row r="30" spans="1:78" ht="12.75">
      <c r="A30" s="52" t="s">
        <v>383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14"/>
      <c r="BT30" s="114"/>
      <c r="BU30" s="114"/>
      <c r="BV30" s="114"/>
      <c r="BW30" s="114"/>
      <c r="BX30" s="114"/>
      <c r="BY30" s="31"/>
      <c r="BZ30" s="114"/>
    </row>
    <row r="31" spans="1:78" ht="12.75">
      <c r="A31" s="51" t="s">
        <v>379</v>
      </c>
      <c r="B31" s="10">
        <v>60528.362</v>
      </c>
      <c r="C31" s="10">
        <v>29878.989</v>
      </c>
      <c r="D31" s="10">
        <v>30652.883</v>
      </c>
      <c r="E31" s="10">
        <v>12901.13</v>
      </c>
      <c r="F31" s="10">
        <v>34016.109</v>
      </c>
      <c r="G31" s="10">
        <v>14643.614</v>
      </c>
      <c r="H31" s="10">
        <v>7171.015</v>
      </c>
      <c r="I31" s="10">
        <v>2800.441</v>
      </c>
      <c r="J31" s="10">
        <v>16300.482</v>
      </c>
      <c r="K31" s="10">
        <v>24685.247</v>
      </c>
      <c r="L31" s="10">
        <v>23852.955</v>
      </c>
      <c r="M31" s="10">
        <v>6120.495</v>
      </c>
      <c r="N31" s="10">
        <v>8158.441</v>
      </c>
      <c r="O31" s="10">
        <v>6168.126</v>
      </c>
      <c r="P31" s="10">
        <v>10034.284</v>
      </c>
      <c r="Q31" s="10">
        <v>10842.075</v>
      </c>
      <c r="R31" s="10">
        <v>12911.042</v>
      </c>
      <c r="S31" s="10">
        <v>7728.323</v>
      </c>
      <c r="T31" s="10">
        <v>20255.969</v>
      </c>
      <c r="U31" s="10">
        <v>0</v>
      </c>
      <c r="V31" s="10">
        <v>6022.494</v>
      </c>
      <c r="W31" s="10">
        <v>5026.913</v>
      </c>
      <c r="X31" s="10">
        <v>343.7089</v>
      </c>
      <c r="Y31" s="10">
        <v>1697.842</v>
      </c>
      <c r="Z31" s="10">
        <v>6047.745</v>
      </c>
      <c r="AA31" s="10">
        <v>11165.493</v>
      </c>
      <c r="AB31" s="10">
        <v>0</v>
      </c>
      <c r="AC31" s="10">
        <v>5608.155</v>
      </c>
      <c r="AD31" s="10">
        <v>1141.746</v>
      </c>
      <c r="AE31" s="10">
        <v>784</v>
      </c>
      <c r="AF31" s="10">
        <v>7245.23</v>
      </c>
      <c r="AG31" s="10">
        <v>846.559</v>
      </c>
      <c r="AH31" s="10">
        <v>8467.886</v>
      </c>
      <c r="AI31" s="10">
        <v>817</v>
      </c>
      <c r="AJ31" s="10">
        <v>991.293</v>
      </c>
      <c r="AK31" s="10">
        <v>0</v>
      </c>
      <c r="AL31" s="10">
        <v>3651.461</v>
      </c>
      <c r="AM31" s="10">
        <v>0</v>
      </c>
      <c r="AN31" s="10">
        <v>602.986</v>
      </c>
      <c r="AO31" s="10">
        <v>973.881</v>
      </c>
      <c r="AP31" s="10">
        <v>550.954</v>
      </c>
      <c r="AQ31" s="10">
        <f>798.663+340.039</f>
        <v>1138.702</v>
      </c>
      <c r="AR31" s="10">
        <v>5343.718</v>
      </c>
      <c r="AS31" s="10">
        <v>1033.721</v>
      </c>
      <c r="AT31" s="10">
        <v>540.127</v>
      </c>
      <c r="AU31" s="10">
        <v>85.456</v>
      </c>
      <c r="AV31" s="10">
        <v>567.921</v>
      </c>
      <c r="AW31" s="10">
        <v>306.975</v>
      </c>
      <c r="AX31" s="10">
        <v>55.433</v>
      </c>
      <c r="AY31" s="10">
        <v>1686.027</v>
      </c>
      <c r="AZ31" s="10">
        <v>0</v>
      </c>
      <c r="BA31" s="10">
        <v>1261.659</v>
      </c>
      <c r="BB31" s="10">
        <v>119.431</v>
      </c>
      <c r="BC31" s="10">
        <v>406.416</v>
      </c>
      <c r="BD31" s="10">
        <v>0</v>
      </c>
      <c r="BE31" s="10">
        <v>0</v>
      </c>
      <c r="BF31" s="10">
        <v>454.475</v>
      </c>
      <c r="BG31" s="10">
        <v>281.667</v>
      </c>
      <c r="BH31" s="10">
        <v>0</v>
      </c>
      <c r="BI31" s="10">
        <v>350.633</v>
      </c>
      <c r="BJ31" s="10">
        <v>0</v>
      </c>
      <c r="BK31" s="10">
        <v>0</v>
      </c>
      <c r="BL31" s="10">
        <v>0</v>
      </c>
      <c r="BM31" s="10">
        <v>0</v>
      </c>
      <c r="BN31" s="10">
        <v>114.182</v>
      </c>
      <c r="BO31" s="10">
        <v>0</v>
      </c>
      <c r="BP31" s="10"/>
      <c r="BQ31" s="10"/>
      <c r="BR31" s="10"/>
      <c r="BS31" s="114">
        <f t="shared" si="0"/>
        <v>415381.8718999999</v>
      </c>
      <c r="BT31" s="114">
        <f t="shared" si="1"/>
        <v>52992.338</v>
      </c>
      <c r="BU31" s="114">
        <f t="shared" si="2"/>
        <v>173624.69900000005</v>
      </c>
      <c r="BV31" s="114">
        <f t="shared" si="3"/>
        <v>150920.76300000004</v>
      </c>
      <c r="BW31" s="114">
        <f t="shared" si="4"/>
        <v>377537.8000000001</v>
      </c>
      <c r="BX31" s="114">
        <f t="shared" si="5"/>
        <v>37844.0719</v>
      </c>
      <c r="BY31" s="31"/>
      <c r="BZ31" s="114">
        <f t="shared" si="6"/>
        <v>415381.8719000001</v>
      </c>
    </row>
    <row r="32" spans="1:78" ht="12.75">
      <c r="A32" s="51" t="s">
        <v>361</v>
      </c>
      <c r="B32" s="10">
        <v>0</v>
      </c>
      <c r="C32" s="10">
        <v>6300.125</v>
      </c>
      <c r="D32" s="10">
        <v>2074.722</v>
      </c>
      <c r="E32" s="10">
        <v>9.49</v>
      </c>
      <c r="F32" s="10">
        <v>0</v>
      </c>
      <c r="G32" s="10">
        <v>0</v>
      </c>
      <c r="H32" s="10">
        <v>11894.196</v>
      </c>
      <c r="I32" s="10">
        <v>0</v>
      </c>
      <c r="J32" s="10">
        <v>0</v>
      </c>
      <c r="K32" s="10">
        <v>0</v>
      </c>
      <c r="L32" s="10">
        <v>0</v>
      </c>
      <c r="M32" s="10">
        <v>9.19</v>
      </c>
      <c r="N32" s="10">
        <v>2520.91</v>
      </c>
      <c r="O32" s="10">
        <v>1288.635</v>
      </c>
      <c r="P32" s="10">
        <v>1489.046</v>
      </c>
      <c r="Q32" s="10">
        <v>0</v>
      </c>
      <c r="R32" s="10">
        <v>0</v>
      </c>
      <c r="S32" s="10">
        <v>88.306</v>
      </c>
      <c r="T32" s="10">
        <v>141.219</v>
      </c>
      <c r="U32" s="10">
        <v>0</v>
      </c>
      <c r="V32" s="10">
        <v>275.215</v>
      </c>
      <c r="W32" s="10">
        <v>451.331</v>
      </c>
      <c r="X32" s="10">
        <v>132.857</v>
      </c>
      <c r="Y32" s="10">
        <v>168.536</v>
      </c>
      <c r="Z32" s="10">
        <v>8.126</v>
      </c>
      <c r="AA32" s="10">
        <v>1758.649</v>
      </c>
      <c r="AB32" s="10">
        <v>0</v>
      </c>
      <c r="AC32" s="10">
        <v>0</v>
      </c>
      <c r="AD32" s="10">
        <v>0</v>
      </c>
      <c r="AE32" s="10">
        <v>812.513</v>
      </c>
      <c r="AF32" s="10">
        <v>905.669</v>
      </c>
      <c r="AG32" s="10">
        <v>29.153</v>
      </c>
      <c r="AH32" s="10">
        <v>246.072</v>
      </c>
      <c r="AI32" s="10">
        <v>0</v>
      </c>
      <c r="AJ32" s="10">
        <v>129.374</v>
      </c>
      <c r="AK32" s="10">
        <v>0</v>
      </c>
      <c r="AL32" s="10">
        <v>0</v>
      </c>
      <c r="AM32" s="10">
        <v>0</v>
      </c>
      <c r="AN32" s="10">
        <v>12.229</v>
      </c>
      <c r="AO32" s="10">
        <v>0</v>
      </c>
      <c r="AP32" s="10">
        <v>38.773</v>
      </c>
      <c r="AQ32" s="10">
        <v>0</v>
      </c>
      <c r="AR32" s="10">
        <v>49.555</v>
      </c>
      <c r="AS32" s="10">
        <v>30.066</v>
      </c>
      <c r="AT32" s="10">
        <v>127.653</v>
      </c>
      <c r="AU32" s="10">
        <v>0</v>
      </c>
      <c r="AV32" s="10">
        <v>80.225</v>
      </c>
      <c r="AW32" s="10">
        <v>5.755</v>
      </c>
      <c r="AX32" s="10">
        <v>5.939</v>
      </c>
      <c r="AY32" s="10">
        <v>56.026</v>
      </c>
      <c r="AZ32" s="10">
        <v>0</v>
      </c>
      <c r="BA32" s="10">
        <v>0</v>
      </c>
      <c r="BB32" s="10">
        <v>478.182</v>
      </c>
      <c r="BC32" s="10">
        <v>14.539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/>
      <c r="BQ32" s="10"/>
      <c r="BR32" s="10"/>
      <c r="BS32" s="114">
        <f t="shared" si="0"/>
        <v>31632.275999999994</v>
      </c>
      <c r="BT32" s="114">
        <f t="shared" si="1"/>
        <v>5251.198</v>
      </c>
      <c r="BU32" s="114">
        <f t="shared" si="2"/>
        <v>10406.513</v>
      </c>
      <c r="BV32" s="114">
        <f t="shared" si="3"/>
        <v>14561.586</v>
      </c>
      <c r="BW32" s="114">
        <f t="shared" si="4"/>
        <v>30219.297</v>
      </c>
      <c r="BX32" s="114">
        <f t="shared" si="5"/>
        <v>1412.979</v>
      </c>
      <c r="BY32" s="31"/>
      <c r="BZ32" s="114">
        <f t="shared" si="6"/>
        <v>31632.275999999998</v>
      </c>
    </row>
    <row r="33" spans="1:78" ht="12.75">
      <c r="A33" s="51" t="s">
        <v>432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11925.488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1378.248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>
        <v>0</v>
      </c>
      <c r="AR33" s="10">
        <v>0</v>
      </c>
      <c r="AS33" s="10">
        <v>0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v>0</v>
      </c>
      <c r="BG33" s="10"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v>0</v>
      </c>
      <c r="BN33" s="10">
        <v>0</v>
      </c>
      <c r="BO33" s="10">
        <v>0</v>
      </c>
      <c r="BP33" s="10"/>
      <c r="BQ33" s="10"/>
      <c r="BR33" s="10"/>
      <c r="BS33" s="114">
        <f t="shared" si="0"/>
        <v>13303.735999999999</v>
      </c>
      <c r="BT33" s="114">
        <f t="shared" si="1"/>
        <v>0</v>
      </c>
      <c r="BU33" s="114">
        <f t="shared" si="2"/>
        <v>0</v>
      </c>
      <c r="BV33" s="114">
        <f t="shared" si="3"/>
        <v>13303.735999999999</v>
      </c>
      <c r="BW33" s="114">
        <f t="shared" si="4"/>
        <v>13303.735999999999</v>
      </c>
      <c r="BX33" s="114">
        <f t="shared" si="5"/>
        <v>0</v>
      </c>
      <c r="BY33" s="31"/>
      <c r="BZ33" s="114">
        <f t="shared" si="6"/>
        <v>13303.735999999999</v>
      </c>
    </row>
    <row r="34" spans="1:78" ht="12.75">
      <c r="A34" s="51" t="s">
        <v>360</v>
      </c>
      <c r="B34" s="10">
        <v>0</v>
      </c>
      <c r="C34" s="10">
        <v>18428.724</v>
      </c>
      <c r="D34" s="10">
        <v>2569.812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1317.116</v>
      </c>
      <c r="M34" s="10">
        <v>0</v>
      </c>
      <c r="N34" s="10">
        <v>0</v>
      </c>
      <c r="O34" s="10">
        <v>0</v>
      </c>
      <c r="P34" s="10">
        <v>135.101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/>
      <c r="BQ34" s="10"/>
      <c r="BR34" s="10"/>
      <c r="BS34" s="114">
        <f t="shared" si="0"/>
        <v>22450.753</v>
      </c>
      <c r="BT34" s="114">
        <f t="shared" si="1"/>
        <v>2569.812</v>
      </c>
      <c r="BU34" s="114">
        <f t="shared" si="2"/>
        <v>19880.940999999995</v>
      </c>
      <c r="BV34" s="114">
        <f t="shared" si="3"/>
        <v>0</v>
      </c>
      <c r="BW34" s="114">
        <f t="shared" si="4"/>
        <v>22450.752999999997</v>
      </c>
      <c r="BX34" s="114">
        <f t="shared" si="5"/>
        <v>0</v>
      </c>
      <c r="BY34" s="31"/>
      <c r="BZ34" s="114">
        <f t="shared" si="6"/>
        <v>22450.752999999997</v>
      </c>
    </row>
    <row r="35" spans="1:78" ht="3" customHeight="1">
      <c r="A35" s="5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14"/>
      <c r="BT35" s="114"/>
      <c r="BU35" s="114"/>
      <c r="BV35" s="114"/>
      <c r="BW35" s="114"/>
      <c r="BX35" s="114"/>
      <c r="BY35" s="31"/>
      <c r="BZ35" s="114"/>
    </row>
    <row r="36" spans="1:78" ht="12" customHeight="1">
      <c r="A36" s="115" t="s">
        <v>375</v>
      </c>
      <c r="B36" s="110">
        <f aca="true" t="shared" si="13" ref="B36:AG36">SUM(B31:B34)</f>
        <v>60528.362</v>
      </c>
      <c r="C36" s="110">
        <f t="shared" si="13"/>
        <v>54607.838</v>
      </c>
      <c r="D36" s="110">
        <f t="shared" si="13"/>
        <v>35297.417</v>
      </c>
      <c r="E36" s="110">
        <f t="shared" si="13"/>
        <v>12910.619999999999</v>
      </c>
      <c r="F36" s="110">
        <f t="shared" si="13"/>
        <v>34016.109</v>
      </c>
      <c r="G36" s="110">
        <f t="shared" si="13"/>
        <v>14643.614</v>
      </c>
      <c r="H36" s="110">
        <f t="shared" si="13"/>
        <v>19065.211</v>
      </c>
      <c r="I36" s="110">
        <f t="shared" si="13"/>
        <v>2800.441</v>
      </c>
      <c r="J36" s="110">
        <f t="shared" si="13"/>
        <v>16300.482</v>
      </c>
      <c r="K36" s="110">
        <f t="shared" si="13"/>
        <v>24685.247</v>
      </c>
      <c r="L36" s="110">
        <f t="shared" si="13"/>
        <v>25170.071000000004</v>
      </c>
      <c r="M36" s="110">
        <f t="shared" si="13"/>
        <v>6129.6849999999995</v>
      </c>
      <c r="N36" s="110">
        <f t="shared" si="13"/>
        <v>10679.350999999999</v>
      </c>
      <c r="O36" s="110">
        <f t="shared" si="13"/>
        <v>19382.249</v>
      </c>
      <c r="P36" s="110">
        <f t="shared" si="13"/>
        <v>11658.431</v>
      </c>
      <c r="Q36" s="110">
        <f t="shared" si="13"/>
        <v>10842.075</v>
      </c>
      <c r="R36" s="110">
        <f t="shared" si="13"/>
        <v>12911.042</v>
      </c>
      <c r="S36" s="110">
        <f t="shared" si="13"/>
        <v>7816.629</v>
      </c>
      <c r="T36" s="110">
        <f t="shared" si="13"/>
        <v>20397.188000000002</v>
      </c>
      <c r="U36" s="110">
        <f t="shared" si="13"/>
        <v>0</v>
      </c>
      <c r="V36" s="110">
        <f t="shared" si="13"/>
        <v>6297.709</v>
      </c>
      <c r="W36" s="110">
        <f t="shared" si="13"/>
        <v>5478.244</v>
      </c>
      <c r="X36" s="110">
        <f t="shared" si="13"/>
        <v>476.56590000000006</v>
      </c>
      <c r="Y36" s="110">
        <f t="shared" si="13"/>
        <v>1866.3780000000002</v>
      </c>
      <c r="Z36" s="110">
        <f t="shared" si="13"/>
        <v>6055.871</v>
      </c>
      <c r="AA36" s="110">
        <f t="shared" si="13"/>
        <v>12924.142</v>
      </c>
      <c r="AB36" s="110">
        <f t="shared" si="13"/>
        <v>0</v>
      </c>
      <c r="AC36" s="110">
        <f t="shared" si="13"/>
        <v>6986.403</v>
      </c>
      <c r="AD36" s="110">
        <f t="shared" si="13"/>
        <v>1141.746</v>
      </c>
      <c r="AE36" s="110">
        <f t="shared" si="13"/>
        <v>1596.513</v>
      </c>
      <c r="AF36" s="110">
        <f t="shared" si="13"/>
        <v>8150.898999999999</v>
      </c>
      <c r="AG36" s="110">
        <f t="shared" si="13"/>
        <v>875.712</v>
      </c>
      <c r="AH36" s="110">
        <f aca="true" t="shared" si="14" ref="AH36:BO36">SUM(AH31:AH34)</f>
        <v>8713.958</v>
      </c>
      <c r="AI36" s="110">
        <f t="shared" si="14"/>
        <v>817</v>
      </c>
      <c r="AJ36" s="110">
        <f t="shared" si="14"/>
        <v>1120.667</v>
      </c>
      <c r="AK36" s="110">
        <f t="shared" si="14"/>
        <v>0</v>
      </c>
      <c r="AL36" s="110">
        <f t="shared" si="14"/>
        <v>3651.461</v>
      </c>
      <c r="AM36" s="110">
        <f t="shared" si="14"/>
        <v>0</v>
      </c>
      <c r="AN36" s="110">
        <f t="shared" si="14"/>
        <v>615.215</v>
      </c>
      <c r="AO36" s="110">
        <f t="shared" si="14"/>
        <v>973.881</v>
      </c>
      <c r="AP36" s="110">
        <f t="shared" si="14"/>
        <v>589.727</v>
      </c>
      <c r="AQ36" s="110">
        <f t="shared" si="14"/>
        <v>1138.702</v>
      </c>
      <c r="AR36" s="110">
        <f t="shared" si="14"/>
        <v>5393.273</v>
      </c>
      <c r="AS36" s="110">
        <f t="shared" si="14"/>
        <v>1063.787</v>
      </c>
      <c r="AT36" s="110">
        <f t="shared" si="14"/>
        <v>667.78</v>
      </c>
      <c r="AU36" s="110">
        <f t="shared" si="14"/>
        <v>85.456</v>
      </c>
      <c r="AV36" s="110">
        <f t="shared" si="14"/>
        <v>648.1460000000001</v>
      </c>
      <c r="AW36" s="110">
        <f t="shared" si="14"/>
        <v>312.73</v>
      </c>
      <c r="AX36" s="110">
        <f t="shared" si="14"/>
        <v>61.372</v>
      </c>
      <c r="AY36" s="110">
        <f t="shared" si="14"/>
        <v>1742.053</v>
      </c>
      <c r="AZ36" s="110">
        <f t="shared" si="14"/>
        <v>0</v>
      </c>
      <c r="BA36" s="110">
        <f t="shared" si="14"/>
        <v>1261.659</v>
      </c>
      <c r="BB36" s="110">
        <f t="shared" si="14"/>
        <v>597.613</v>
      </c>
      <c r="BC36" s="110">
        <f t="shared" si="14"/>
        <v>420.955</v>
      </c>
      <c r="BD36" s="110">
        <f t="shared" si="14"/>
        <v>0</v>
      </c>
      <c r="BE36" s="110">
        <f t="shared" si="14"/>
        <v>0</v>
      </c>
      <c r="BF36" s="110">
        <f t="shared" si="14"/>
        <v>454.475</v>
      </c>
      <c r="BG36" s="110">
        <f t="shared" si="14"/>
        <v>281.667</v>
      </c>
      <c r="BH36" s="110">
        <f t="shared" si="14"/>
        <v>0</v>
      </c>
      <c r="BI36" s="110">
        <f t="shared" si="14"/>
        <v>350.633</v>
      </c>
      <c r="BJ36" s="110">
        <f t="shared" si="14"/>
        <v>0</v>
      </c>
      <c r="BK36" s="110">
        <f t="shared" si="14"/>
        <v>0</v>
      </c>
      <c r="BL36" s="110">
        <f t="shared" si="14"/>
        <v>0</v>
      </c>
      <c r="BM36" s="110">
        <f t="shared" si="14"/>
        <v>0</v>
      </c>
      <c r="BN36" s="110">
        <f t="shared" si="14"/>
        <v>114.182</v>
      </c>
      <c r="BO36" s="110">
        <f t="shared" si="14"/>
        <v>0</v>
      </c>
      <c r="BP36" s="110"/>
      <c r="BQ36" s="110"/>
      <c r="BR36" s="110"/>
      <c r="BS36" s="114">
        <f t="shared" si="0"/>
        <v>482768.6369</v>
      </c>
      <c r="BT36" s="114">
        <f t="shared" si="1"/>
        <v>60813.348</v>
      </c>
      <c r="BU36" s="114">
        <f t="shared" si="2"/>
        <v>203912.15300000005</v>
      </c>
      <c r="BV36" s="114">
        <f t="shared" si="3"/>
        <v>178786.08500000005</v>
      </c>
      <c r="BW36" s="114">
        <f t="shared" si="4"/>
        <v>443511.5860000001</v>
      </c>
      <c r="BX36" s="114">
        <f t="shared" si="5"/>
        <v>39257.0509</v>
      </c>
      <c r="BY36" s="31"/>
      <c r="BZ36" s="114">
        <f t="shared" si="6"/>
        <v>482768.63690000016</v>
      </c>
    </row>
    <row r="37" spans="1:78" ht="4.5" customHeight="1">
      <c r="A37" s="5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 t="s">
        <v>338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14"/>
      <c r="BT37" s="114"/>
      <c r="BU37" s="114"/>
      <c r="BV37" s="114"/>
      <c r="BW37" s="114"/>
      <c r="BX37" s="114"/>
      <c r="BY37" s="31"/>
      <c r="BZ37" s="114"/>
    </row>
    <row r="38" spans="1:78" ht="12.75">
      <c r="A38" s="116" t="s">
        <v>384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14"/>
      <c r="BT38" s="114"/>
      <c r="BU38" s="114"/>
      <c r="BV38" s="114"/>
      <c r="BW38" s="114"/>
      <c r="BX38" s="114"/>
      <c r="BY38" s="31"/>
      <c r="BZ38" s="114"/>
    </row>
    <row r="39" spans="1:78" ht="12.75">
      <c r="A39" s="51" t="s">
        <v>379</v>
      </c>
      <c r="B39" s="10">
        <v>75355.436</v>
      </c>
      <c r="C39" s="10">
        <v>67799.334</v>
      </c>
      <c r="D39" s="10">
        <v>67545.687</v>
      </c>
      <c r="E39" s="10">
        <v>36289.986</v>
      </c>
      <c r="F39" s="10">
        <v>23802.498</v>
      </c>
      <c r="G39" s="10">
        <v>5846.725</v>
      </c>
      <c r="H39" s="10">
        <v>19535.129</v>
      </c>
      <c r="I39" s="10">
        <v>9813.944</v>
      </c>
      <c r="J39" s="10">
        <v>24450.723</v>
      </c>
      <c r="K39" s="10">
        <v>30959.411</v>
      </c>
      <c r="L39" s="10">
        <v>31593.76</v>
      </c>
      <c r="M39" s="10">
        <v>17097.337</v>
      </c>
      <c r="N39" s="10">
        <v>25208.065</v>
      </c>
      <c r="O39" s="10">
        <v>10995.883</v>
      </c>
      <c r="P39" s="10">
        <v>18206.66</v>
      </c>
      <c r="Q39" s="10">
        <v>18651.547</v>
      </c>
      <c r="R39" s="10">
        <v>17683.844</v>
      </c>
      <c r="S39" s="10">
        <v>9313.776</v>
      </c>
      <c r="T39" s="10">
        <v>6025.105</v>
      </c>
      <c r="U39" s="10">
        <v>0</v>
      </c>
      <c r="V39" s="10">
        <v>4042.843</v>
      </c>
      <c r="W39" s="10">
        <v>6603.703</v>
      </c>
      <c r="X39" s="10">
        <v>7458.301</v>
      </c>
      <c r="Y39" s="10">
        <v>3154.587</v>
      </c>
      <c r="Z39" s="10">
        <v>9234.038</v>
      </c>
      <c r="AA39" s="10">
        <v>3900.59</v>
      </c>
      <c r="AB39" s="10">
        <v>6945.999</v>
      </c>
      <c r="AC39" s="10">
        <v>5958.718</v>
      </c>
      <c r="AD39" s="10">
        <v>1395.467</v>
      </c>
      <c r="AE39" s="10">
        <v>2746.53</v>
      </c>
      <c r="AF39" s="10">
        <v>0</v>
      </c>
      <c r="AG39" s="10">
        <v>937.474</v>
      </c>
      <c r="AH39" s="10">
        <v>3759.128</v>
      </c>
      <c r="AI39" s="10">
        <v>7647</v>
      </c>
      <c r="AJ39" s="10">
        <v>1178.995</v>
      </c>
      <c r="AK39" s="10">
        <v>4301.44</v>
      </c>
      <c r="AL39" s="10">
        <v>2987.559</v>
      </c>
      <c r="AM39" s="10">
        <v>1644.993</v>
      </c>
      <c r="AN39" s="10">
        <v>1406.966</v>
      </c>
      <c r="AO39" s="10">
        <v>1728.115</v>
      </c>
      <c r="AP39" s="10">
        <v>458.586</v>
      </c>
      <c r="AQ39" s="10">
        <v>3232.513</v>
      </c>
      <c r="AR39" s="10">
        <v>0</v>
      </c>
      <c r="AS39" s="10">
        <v>1930.401</v>
      </c>
      <c r="AT39" s="10">
        <v>819.462</v>
      </c>
      <c r="AU39" s="10">
        <v>3400.709</v>
      </c>
      <c r="AV39" s="10">
        <v>806.815</v>
      </c>
      <c r="AW39" s="10">
        <v>320.811</v>
      </c>
      <c r="AX39" s="10">
        <v>832.429</v>
      </c>
      <c r="AY39" s="10">
        <v>978.085</v>
      </c>
      <c r="AZ39" s="10">
        <v>0</v>
      </c>
      <c r="BA39" s="10">
        <v>0</v>
      </c>
      <c r="BB39" s="10">
        <v>165.859</v>
      </c>
      <c r="BC39" s="10">
        <v>1219.25</v>
      </c>
      <c r="BD39" s="10">
        <v>966.969</v>
      </c>
      <c r="BE39" s="10">
        <v>682.392</v>
      </c>
      <c r="BF39" s="10">
        <v>0</v>
      </c>
      <c r="BG39" s="10">
        <v>281.667</v>
      </c>
      <c r="BH39" s="10">
        <v>137.79</v>
      </c>
      <c r="BI39" s="10">
        <v>701.266</v>
      </c>
      <c r="BJ39" s="10">
        <v>0</v>
      </c>
      <c r="BK39" s="10">
        <v>3005.139</v>
      </c>
      <c r="BL39" s="10">
        <v>0</v>
      </c>
      <c r="BM39" s="10">
        <v>0</v>
      </c>
      <c r="BN39" s="10">
        <v>1522.631</v>
      </c>
      <c r="BO39" s="10">
        <v>305.194</v>
      </c>
      <c r="BP39" s="10"/>
      <c r="BQ39" s="10"/>
      <c r="BR39" s="10"/>
      <c r="BS39" s="114">
        <f t="shared" si="0"/>
        <v>614975.2640000002</v>
      </c>
      <c r="BT39" s="114">
        <f t="shared" si="1"/>
        <v>104361.069</v>
      </c>
      <c r="BU39" s="114">
        <f t="shared" si="2"/>
        <v>251305.52200000003</v>
      </c>
      <c r="BV39" s="114">
        <f t="shared" si="3"/>
        <v>235541.66399999993</v>
      </c>
      <c r="BW39" s="114">
        <f t="shared" si="4"/>
        <v>591208.2549999999</v>
      </c>
      <c r="BX39" s="114">
        <f t="shared" si="5"/>
        <v>23767.009</v>
      </c>
      <c r="BY39" s="31"/>
      <c r="BZ39" s="114">
        <f t="shared" si="6"/>
        <v>614975.2639999999</v>
      </c>
    </row>
    <row r="40" spans="1:78" ht="12.75">
      <c r="A40" s="51" t="s">
        <v>359</v>
      </c>
      <c r="B40" s="10">
        <v>0</v>
      </c>
      <c r="C40" s="10">
        <v>0</v>
      </c>
      <c r="D40" s="10">
        <v>1553.239</v>
      </c>
      <c r="E40" s="10">
        <v>0</v>
      </c>
      <c r="F40" s="10">
        <v>23814.944</v>
      </c>
      <c r="G40" s="10">
        <f>5998.25+12519.997</f>
        <v>18518.247</v>
      </c>
      <c r="H40" s="10">
        <v>0</v>
      </c>
      <c r="I40" s="10">
        <v>3476.905</v>
      </c>
      <c r="J40" s="10">
        <v>0</v>
      </c>
      <c r="K40" s="10">
        <v>0</v>
      </c>
      <c r="L40" s="10">
        <v>0</v>
      </c>
      <c r="M40" s="10">
        <v>2010.523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600.912</v>
      </c>
      <c r="V40" s="10">
        <v>0</v>
      </c>
      <c r="W40" s="10">
        <v>345.165</v>
      </c>
      <c r="X40" s="10">
        <v>0</v>
      </c>
      <c r="Y40" s="10">
        <v>0</v>
      </c>
      <c r="Z40" s="10">
        <v>0</v>
      </c>
      <c r="AA40" s="10">
        <v>1553.239</v>
      </c>
      <c r="AB40" s="10">
        <v>0</v>
      </c>
      <c r="AC40" s="10">
        <v>0</v>
      </c>
      <c r="AD40" s="10">
        <v>0</v>
      </c>
      <c r="AE40" s="10">
        <v>0</v>
      </c>
      <c r="AF40" s="10">
        <v>3662.595</v>
      </c>
      <c r="AG40" s="10">
        <v>353.421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984.313</v>
      </c>
      <c r="AP40" s="10">
        <v>1106.501</v>
      </c>
      <c r="AQ40" s="10">
        <v>0</v>
      </c>
      <c r="AR40" s="10">
        <v>796.184</v>
      </c>
      <c r="AS40" s="10">
        <v>0</v>
      </c>
      <c r="AT40" s="10">
        <v>0</v>
      </c>
      <c r="AU40" s="10">
        <v>0</v>
      </c>
      <c r="AV40" s="10">
        <v>0</v>
      </c>
      <c r="AW40" s="10">
        <v>1090.519</v>
      </c>
      <c r="AX40" s="10">
        <v>0</v>
      </c>
      <c r="AY40" s="10">
        <v>0</v>
      </c>
      <c r="AZ40" s="10">
        <v>1394.957</v>
      </c>
      <c r="BA40" s="10">
        <v>195.873</v>
      </c>
      <c r="BB40" s="10">
        <v>27.684</v>
      </c>
      <c r="BC40" s="10">
        <v>0</v>
      </c>
      <c r="BD40" s="10">
        <v>0</v>
      </c>
      <c r="BE40" s="10">
        <v>1294.666</v>
      </c>
      <c r="BF40" s="10">
        <v>946.237</v>
      </c>
      <c r="BG40" s="10">
        <v>0</v>
      </c>
      <c r="BH40" s="10">
        <v>0</v>
      </c>
      <c r="BI40" s="10">
        <v>0</v>
      </c>
      <c r="BJ40" s="10">
        <v>695.34</v>
      </c>
      <c r="BK40" s="10">
        <v>0</v>
      </c>
      <c r="BL40" s="10">
        <v>0</v>
      </c>
      <c r="BM40" s="10">
        <v>46.08</v>
      </c>
      <c r="BN40" s="10">
        <v>0</v>
      </c>
      <c r="BO40" s="10">
        <v>0</v>
      </c>
      <c r="BP40" s="10"/>
      <c r="BQ40" s="10"/>
      <c r="BR40" s="10"/>
      <c r="BS40" s="114">
        <f t="shared" si="0"/>
        <v>64467.544</v>
      </c>
      <c r="BT40" s="114">
        <f t="shared" si="1"/>
        <v>6779.383</v>
      </c>
      <c r="BU40" s="114">
        <f t="shared" si="2"/>
        <v>42333.191</v>
      </c>
      <c r="BV40" s="114">
        <f t="shared" si="3"/>
        <v>10700.318</v>
      </c>
      <c r="BW40" s="114">
        <f t="shared" si="4"/>
        <v>59812.892</v>
      </c>
      <c r="BX40" s="114">
        <f t="shared" si="5"/>
        <v>4654.651999999999</v>
      </c>
      <c r="BY40" s="31"/>
      <c r="BZ40" s="114">
        <f t="shared" si="6"/>
        <v>64467.544</v>
      </c>
    </row>
    <row r="41" spans="1:78" ht="3" customHeight="1">
      <c r="A41" s="5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14"/>
      <c r="BT41" s="114"/>
      <c r="BU41" s="114"/>
      <c r="BV41" s="114"/>
      <c r="BW41" s="114"/>
      <c r="BX41" s="114"/>
      <c r="BY41" s="31"/>
      <c r="BZ41" s="114"/>
    </row>
    <row r="42" spans="1:78" ht="11.25" customHeight="1">
      <c r="A42" s="115" t="s">
        <v>376</v>
      </c>
      <c r="B42" s="110">
        <f aca="true" t="shared" si="15" ref="B42:AG42">SUM(B39:B40)</f>
        <v>75355.436</v>
      </c>
      <c r="C42" s="110">
        <f t="shared" si="15"/>
        <v>67799.334</v>
      </c>
      <c r="D42" s="110">
        <f t="shared" si="15"/>
        <v>69098.926</v>
      </c>
      <c r="E42" s="110">
        <f t="shared" si="15"/>
        <v>36289.986</v>
      </c>
      <c r="F42" s="110">
        <f t="shared" si="15"/>
        <v>47617.441999999995</v>
      </c>
      <c r="G42" s="110">
        <f t="shared" si="15"/>
        <v>24364.972</v>
      </c>
      <c r="H42" s="110">
        <f t="shared" si="15"/>
        <v>19535.129</v>
      </c>
      <c r="I42" s="110">
        <f t="shared" si="15"/>
        <v>13290.849</v>
      </c>
      <c r="J42" s="110">
        <f t="shared" si="15"/>
        <v>24450.723</v>
      </c>
      <c r="K42" s="110">
        <f t="shared" si="15"/>
        <v>30959.411</v>
      </c>
      <c r="L42" s="110">
        <f t="shared" si="15"/>
        <v>31593.76</v>
      </c>
      <c r="M42" s="110">
        <f t="shared" si="15"/>
        <v>19107.86</v>
      </c>
      <c r="N42" s="110">
        <f t="shared" si="15"/>
        <v>25208.065</v>
      </c>
      <c r="O42" s="110">
        <f t="shared" si="15"/>
        <v>10995.883</v>
      </c>
      <c r="P42" s="110">
        <f t="shared" si="15"/>
        <v>18206.66</v>
      </c>
      <c r="Q42" s="110">
        <f t="shared" si="15"/>
        <v>18651.547</v>
      </c>
      <c r="R42" s="110">
        <f t="shared" si="15"/>
        <v>17683.844</v>
      </c>
      <c r="S42" s="110">
        <f t="shared" si="15"/>
        <v>9313.776</v>
      </c>
      <c r="T42" s="110">
        <f t="shared" si="15"/>
        <v>6025.105</v>
      </c>
      <c r="U42" s="110">
        <f t="shared" si="15"/>
        <v>600.912</v>
      </c>
      <c r="V42" s="110">
        <f t="shared" si="15"/>
        <v>4042.843</v>
      </c>
      <c r="W42" s="110">
        <f t="shared" si="15"/>
        <v>6948.868</v>
      </c>
      <c r="X42" s="110">
        <f t="shared" si="15"/>
        <v>7458.301</v>
      </c>
      <c r="Y42" s="110">
        <f t="shared" si="15"/>
        <v>3154.587</v>
      </c>
      <c r="Z42" s="110">
        <f t="shared" si="15"/>
        <v>9234.038</v>
      </c>
      <c r="AA42" s="110">
        <f t="shared" si="15"/>
        <v>5453.829</v>
      </c>
      <c r="AB42" s="110">
        <f t="shared" si="15"/>
        <v>6945.999</v>
      </c>
      <c r="AC42" s="110">
        <f t="shared" si="15"/>
        <v>5958.718</v>
      </c>
      <c r="AD42" s="110">
        <f t="shared" si="15"/>
        <v>1395.467</v>
      </c>
      <c r="AE42" s="110">
        <f t="shared" si="15"/>
        <v>2746.53</v>
      </c>
      <c r="AF42" s="110">
        <f t="shared" si="15"/>
        <v>3662.595</v>
      </c>
      <c r="AG42" s="110">
        <f t="shared" si="15"/>
        <v>1290.895</v>
      </c>
      <c r="AH42" s="110">
        <f aca="true" t="shared" si="16" ref="AH42:BO42">SUM(AH39:AH40)</f>
        <v>3759.128</v>
      </c>
      <c r="AI42" s="110">
        <f t="shared" si="16"/>
        <v>7647</v>
      </c>
      <c r="AJ42" s="110">
        <f t="shared" si="16"/>
        <v>1178.995</v>
      </c>
      <c r="AK42" s="110">
        <f t="shared" si="16"/>
        <v>4301.44</v>
      </c>
      <c r="AL42" s="110">
        <f t="shared" si="16"/>
        <v>2987.559</v>
      </c>
      <c r="AM42" s="110">
        <f t="shared" si="16"/>
        <v>1644.993</v>
      </c>
      <c r="AN42" s="110">
        <f t="shared" si="16"/>
        <v>1406.966</v>
      </c>
      <c r="AO42" s="110">
        <f t="shared" si="16"/>
        <v>2712.428</v>
      </c>
      <c r="AP42" s="110">
        <f t="shared" si="16"/>
        <v>1565.087</v>
      </c>
      <c r="AQ42" s="110">
        <f t="shared" si="16"/>
        <v>3232.513</v>
      </c>
      <c r="AR42" s="110">
        <f t="shared" si="16"/>
        <v>796.184</v>
      </c>
      <c r="AS42" s="110">
        <f t="shared" si="16"/>
        <v>1930.401</v>
      </c>
      <c r="AT42" s="110">
        <f t="shared" si="16"/>
        <v>819.462</v>
      </c>
      <c r="AU42" s="110">
        <f t="shared" si="16"/>
        <v>3400.709</v>
      </c>
      <c r="AV42" s="110">
        <f t="shared" si="16"/>
        <v>806.815</v>
      </c>
      <c r="AW42" s="110">
        <f t="shared" si="16"/>
        <v>1411.33</v>
      </c>
      <c r="AX42" s="110">
        <f t="shared" si="16"/>
        <v>832.429</v>
      </c>
      <c r="AY42" s="110">
        <f t="shared" si="16"/>
        <v>978.085</v>
      </c>
      <c r="AZ42" s="110">
        <f t="shared" si="16"/>
        <v>1394.957</v>
      </c>
      <c r="BA42" s="110">
        <f t="shared" si="16"/>
        <v>195.873</v>
      </c>
      <c r="BB42" s="110">
        <f t="shared" si="16"/>
        <v>193.543</v>
      </c>
      <c r="BC42" s="110">
        <f t="shared" si="16"/>
        <v>1219.25</v>
      </c>
      <c r="BD42" s="110">
        <f t="shared" si="16"/>
        <v>966.969</v>
      </c>
      <c r="BE42" s="110">
        <f t="shared" si="16"/>
        <v>1977.058</v>
      </c>
      <c r="BF42" s="110">
        <f t="shared" si="16"/>
        <v>946.237</v>
      </c>
      <c r="BG42" s="110">
        <f t="shared" si="16"/>
        <v>281.667</v>
      </c>
      <c r="BH42" s="110">
        <f t="shared" si="16"/>
        <v>137.79</v>
      </c>
      <c r="BI42" s="110">
        <f t="shared" si="16"/>
        <v>701.266</v>
      </c>
      <c r="BJ42" s="110">
        <f t="shared" si="16"/>
        <v>695.34</v>
      </c>
      <c r="BK42" s="110">
        <f t="shared" si="16"/>
        <v>3005.139</v>
      </c>
      <c r="BL42" s="110">
        <f t="shared" si="16"/>
        <v>0</v>
      </c>
      <c r="BM42" s="110">
        <f t="shared" si="16"/>
        <v>46.08</v>
      </c>
      <c r="BN42" s="110">
        <f t="shared" si="16"/>
        <v>1522.631</v>
      </c>
      <c r="BO42" s="110">
        <f t="shared" si="16"/>
        <v>305.194</v>
      </c>
      <c r="BP42" s="110"/>
      <c r="BQ42" s="110"/>
      <c r="BR42" s="110"/>
      <c r="BS42" s="114">
        <f t="shared" si="0"/>
        <v>679442.8079999998</v>
      </c>
      <c r="BT42" s="114">
        <f t="shared" si="1"/>
        <v>111140.452</v>
      </c>
      <c r="BU42" s="114">
        <f t="shared" si="2"/>
        <v>293638.713</v>
      </c>
      <c r="BV42" s="114">
        <f t="shared" si="3"/>
        <v>246241.9819999999</v>
      </c>
      <c r="BW42" s="114">
        <f>SUM(BW39:BW41)</f>
        <v>651021.1469999999</v>
      </c>
      <c r="BX42" s="114">
        <f t="shared" si="5"/>
        <v>28421.661</v>
      </c>
      <c r="BY42" s="114"/>
      <c r="BZ42" s="114">
        <f>SUM(BZ39:BZ41)</f>
        <v>679442.8079999998</v>
      </c>
    </row>
    <row r="43" spans="1:78" ht="4.5" customHeight="1">
      <c r="A43" s="50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14"/>
      <c r="BT43" s="114"/>
      <c r="BU43" s="114"/>
      <c r="BV43" s="114"/>
      <c r="BW43" s="114"/>
      <c r="BX43" s="114"/>
      <c r="BY43" s="31"/>
      <c r="BZ43" s="114"/>
    </row>
    <row r="44" spans="1:78" ht="13.5" customHeight="1">
      <c r="A44" s="52" t="s">
        <v>385</v>
      </c>
      <c r="B44" s="12">
        <v>53305.126</v>
      </c>
      <c r="C44" s="12">
        <v>38350.456</v>
      </c>
      <c r="D44" s="12">
        <v>14058.747</v>
      </c>
      <c r="E44" s="12">
        <v>16617.24</v>
      </c>
      <c r="F44" s="12">
        <v>25618.476</v>
      </c>
      <c r="G44" s="12">
        <v>10731.996</v>
      </c>
      <c r="H44" s="12">
        <v>0</v>
      </c>
      <c r="I44" s="12">
        <v>0</v>
      </c>
      <c r="J44" s="12">
        <v>0</v>
      </c>
      <c r="K44" s="12">
        <v>10324.461</v>
      </c>
      <c r="L44" s="12">
        <v>4612.671</v>
      </c>
      <c r="M44" s="12">
        <v>1133.661</v>
      </c>
      <c r="N44" s="12">
        <v>18117.23</v>
      </c>
      <c r="O44" s="12">
        <v>545.027</v>
      </c>
      <c r="P44" s="12">
        <v>10233.5</v>
      </c>
      <c r="Q44" s="12">
        <v>1970.185</v>
      </c>
      <c r="R44" s="12">
        <v>9225.943</v>
      </c>
      <c r="S44" s="12">
        <v>2739.543</v>
      </c>
      <c r="T44" s="12">
        <v>4170.932</v>
      </c>
      <c r="U44" s="12">
        <v>5946.781</v>
      </c>
      <c r="V44" s="12">
        <v>0</v>
      </c>
      <c r="W44" s="12">
        <v>1746.359</v>
      </c>
      <c r="X44" s="12">
        <v>0</v>
      </c>
      <c r="Y44" s="12">
        <v>0</v>
      </c>
      <c r="Z44" s="12">
        <v>2781.378</v>
      </c>
      <c r="AA44" s="12">
        <v>310.531</v>
      </c>
      <c r="AB44" s="12">
        <v>0</v>
      </c>
      <c r="AC44" s="12">
        <v>2632.65</v>
      </c>
      <c r="AD44" s="12">
        <v>0</v>
      </c>
      <c r="AE44" s="12">
        <v>0</v>
      </c>
      <c r="AF44" s="12">
        <v>0</v>
      </c>
      <c r="AG44" s="12">
        <v>0</v>
      </c>
      <c r="AH44" s="12">
        <v>1240.704</v>
      </c>
      <c r="AI44" s="12">
        <v>0</v>
      </c>
      <c r="AJ44" s="12">
        <v>0</v>
      </c>
      <c r="AK44" s="12">
        <v>1149.655</v>
      </c>
      <c r="AL44" s="12">
        <v>782.402</v>
      </c>
      <c r="AM44" s="12">
        <v>0</v>
      </c>
      <c r="AN44" s="12">
        <v>1380.981</v>
      </c>
      <c r="AO44" s="12">
        <v>3686.309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975.526</v>
      </c>
      <c r="AV44" s="12">
        <v>156.225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12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/>
      <c r="BQ44" s="12"/>
      <c r="BR44" s="12"/>
      <c r="BS44" s="114">
        <f t="shared" si="0"/>
        <v>244556.69500000004</v>
      </c>
      <c r="BT44" s="114">
        <f t="shared" si="1"/>
        <v>19958.171</v>
      </c>
      <c r="BU44" s="114">
        <f t="shared" si="2"/>
        <v>128387.47899999999</v>
      </c>
      <c r="BV44" s="114">
        <f t="shared" si="3"/>
        <v>92028.113</v>
      </c>
      <c r="BW44" s="114">
        <f t="shared" si="4"/>
        <v>240373.76299999998</v>
      </c>
      <c r="BX44" s="114">
        <f t="shared" si="5"/>
        <v>4182.932</v>
      </c>
      <c r="BY44" s="31"/>
      <c r="BZ44" s="114">
        <f t="shared" si="6"/>
        <v>244556.69499999998</v>
      </c>
    </row>
    <row r="45" spans="1:78" ht="5.25" customHeight="1">
      <c r="A45" s="50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14"/>
      <c r="BT45" s="114"/>
      <c r="BU45" s="114"/>
      <c r="BV45" s="114"/>
      <c r="BW45" s="114"/>
      <c r="BX45" s="114"/>
      <c r="BY45" s="31"/>
      <c r="BZ45" s="114"/>
    </row>
    <row r="46" spans="1:78" ht="13.5" customHeight="1">
      <c r="A46" s="52" t="s">
        <v>386</v>
      </c>
      <c r="B46" s="12">
        <v>0</v>
      </c>
      <c r="C46" s="12">
        <v>0</v>
      </c>
      <c r="D46" s="12">
        <v>199.373</v>
      </c>
      <c r="E46" s="12">
        <v>0</v>
      </c>
      <c r="F46" s="12">
        <v>-2375.547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10486.768</v>
      </c>
      <c r="M46" s="12">
        <v>2683.892</v>
      </c>
      <c r="N46" s="12">
        <v>4378.245</v>
      </c>
      <c r="O46" s="12">
        <v>5831.282</v>
      </c>
      <c r="P46" s="12">
        <v>4226.494</v>
      </c>
      <c r="Q46" s="12">
        <v>0</v>
      </c>
      <c r="R46" s="12">
        <v>0</v>
      </c>
      <c r="S46" s="12">
        <v>4809.066</v>
      </c>
      <c r="T46" s="12">
        <v>0</v>
      </c>
      <c r="U46" s="12">
        <v>0</v>
      </c>
      <c r="V46" s="12">
        <v>2116.82</v>
      </c>
      <c r="W46" s="12">
        <v>0</v>
      </c>
      <c r="X46" s="12">
        <v>0</v>
      </c>
      <c r="Y46" s="12">
        <v>0</v>
      </c>
      <c r="Z46" s="12">
        <v>325.023</v>
      </c>
      <c r="AA46" s="12">
        <v>0</v>
      </c>
      <c r="AB46" s="12">
        <v>196.169</v>
      </c>
      <c r="AC46" s="12">
        <v>4920.063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-215.664</v>
      </c>
      <c r="AK46" s="12">
        <v>0</v>
      </c>
      <c r="AL46" s="12">
        <v>0</v>
      </c>
      <c r="AM46" s="12">
        <v>0</v>
      </c>
      <c r="AN46" s="12">
        <v>0</v>
      </c>
      <c r="AO46" s="12">
        <v>2520.578</v>
      </c>
      <c r="AP46" s="12">
        <v>-792.142</v>
      </c>
      <c r="AQ46" s="12">
        <v>0</v>
      </c>
      <c r="AR46" s="12">
        <v>305.078</v>
      </c>
      <c r="AS46" s="12">
        <v>0</v>
      </c>
      <c r="AT46" s="12">
        <v>0</v>
      </c>
      <c r="AU46" s="12">
        <v>0</v>
      </c>
      <c r="AV46" s="12">
        <v>130.915</v>
      </c>
      <c r="AW46" s="12">
        <v>1392.836</v>
      </c>
      <c r="AX46" s="12">
        <v>959.237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-180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/>
      <c r="BQ46" s="12"/>
      <c r="BR46" s="12"/>
      <c r="BS46" s="114">
        <f t="shared" si="0"/>
        <v>41918.48600000001</v>
      </c>
      <c r="BT46" s="114">
        <f t="shared" si="1"/>
        <v>2867.035</v>
      </c>
      <c r="BU46" s="114">
        <f t="shared" si="2"/>
        <v>21850.049</v>
      </c>
      <c r="BV46" s="114">
        <f t="shared" si="3"/>
        <v>16896.323999999997</v>
      </c>
      <c r="BW46" s="114">
        <f t="shared" si="4"/>
        <v>41613.407999999996</v>
      </c>
      <c r="BX46" s="114">
        <f t="shared" si="5"/>
        <v>305.078</v>
      </c>
      <c r="BY46" s="31"/>
      <c r="BZ46" s="114">
        <f t="shared" si="6"/>
        <v>41918.486</v>
      </c>
    </row>
    <row r="47" spans="1:78" ht="6" customHeight="1">
      <c r="A47" s="5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14"/>
      <c r="BT47" s="114"/>
      <c r="BU47" s="114"/>
      <c r="BV47" s="114"/>
      <c r="BW47" s="114"/>
      <c r="BX47" s="114"/>
      <c r="BY47" s="31"/>
      <c r="BZ47" s="114"/>
    </row>
    <row r="48" spans="1:78" ht="12.75" customHeight="1">
      <c r="A48" s="52" t="s">
        <v>387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14"/>
      <c r="BT48" s="114"/>
      <c r="BU48" s="114"/>
      <c r="BV48" s="114"/>
      <c r="BW48" s="114"/>
      <c r="BX48" s="114"/>
      <c r="BY48" s="31"/>
      <c r="BZ48" s="114"/>
    </row>
    <row r="49" spans="1:78" ht="12.75" customHeight="1">
      <c r="A49" s="52" t="s">
        <v>388</v>
      </c>
      <c r="B49" s="110">
        <f aca="true" t="shared" si="17" ref="B49:AG49">B11-B18+B28-B36-B42+B44-B46</f>
        <v>6850340.722</v>
      </c>
      <c r="C49" s="110">
        <f t="shared" si="17"/>
        <v>3574823.558</v>
      </c>
      <c r="D49" s="110">
        <f t="shared" si="17"/>
        <v>2303201.8699999996</v>
      </c>
      <c r="E49" s="110">
        <f t="shared" si="17"/>
        <v>3108702.7240000004</v>
      </c>
      <c r="F49" s="110">
        <f t="shared" si="17"/>
        <v>2892583.3109999998</v>
      </c>
      <c r="G49" s="110">
        <f t="shared" si="17"/>
        <v>1797036.035</v>
      </c>
      <c r="H49" s="110">
        <f t="shared" si="17"/>
        <v>1292087.1500000001</v>
      </c>
      <c r="I49" s="110">
        <f t="shared" si="17"/>
        <v>6975738.387999999</v>
      </c>
      <c r="J49" s="110">
        <f t="shared" si="17"/>
        <v>816636.545</v>
      </c>
      <c r="K49" s="110">
        <f t="shared" si="17"/>
        <v>1249633.596</v>
      </c>
      <c r="L49" s="110">
        <f t="shared" si="17"/>
        <v>648341.9809999999</v>
      </c>
      <c r="M49" s="110">
        <f t="shared" si="17"/>
        <v>720820.3489999999</v>
      </c>
      <c r="N49" s="110">
        <f t="shared" si="17"/>
        <v>1028756.8539999999</v>
      </c>
      <c r="O49" s="110">
        <f t="shared" si="17"/>
        <v>1152939.5550000002</v>
      </c>
      <c r="P49" s="110">
        <f t="shared" si="17"/>
        <v>873065.2720000001</v>
      </c>
      <c r="Q49" s="110">
        <f t="shared" si="17"/>
        <v>722021.4600000001</v>
      </c>
      <c r="R49" s="110">
        <f t="shared" si="17"/>
        <v>1275260.8369999998</v>
      </c>
      <c r="S49" s="110">
        <f t="shared" si="17"/>
        <v>496911.89200000005</v>
      </c>
      <c r="T49" s="110">
        <f t="shared" si="17"/>
        <v>1129089.0150000001</v>
      </c>
      <c r="U49" s="110">
        <f t="shared" si="17"/>
        <v>616908.773</v>
      </c>
      <c r="V49" s="110">
        <f t="shared" si="17"/>
        <v>454500.3130000001</v>
      </c>
      <c r="W49" s="110">
        <f t="shared" si="17"/>
        <v>296443.36</v>
      </c>
      <c r="X49" s="110">
        <f t="shared" si="17"/>
        <v>1099984.6161</v>
      </c>
      <c r="Y49" s="110">
        <f t="shared" si="17"/>
        <v>289150.52599999995</v>
      </c>
      <c r="Z49" s="110">
        <f t="shared" si="17"/>
        <v>427297.4930000001</v>
      </c>
      <c r="AA49" s="110">
        <f t="shared" si="17"/>
        <v>2805173.8600000003</v>
      </c>
      <c r="AB49" s="110">
        <f t="shared" si="17"/>
        <v>204590.45200000005</v>
      </c>
      <c r="AC49" s="110">
        <f t="shared" si="17"/>
        <v>228073.66000000003</v>
      </c>
      <c r="AD49" s="110">
        <f t="shared" si="17"/>
        <v>159039.46099999998</v>
      </c>
      <c r="AE49" s="110">
        <f t="shared" si="17"/>
        <v>150293.451</v>
      </c>
      <c r="AF49" s="110">
        <f t="shared" si="17"/>
        <v>752476.2450000001</v>
      </c>
      <c r="AG49" s="110">
        <f t="shared" si="17"/>
        <v>295711.77699999994</v>
      </c>
      <c r="AH49" s="110">
        <f aca="true" t="shared" si="18" ref="AH49:BO49">AH11-AH18+AH28-AH36-AH42+AH44-AH46</f>
        <v>106110.801</v>
      </c>
      <c r="AI49" s="110">
        <f t="shared" si="18"/>
        <v>1052749</v>
      </c>
      <c r="AJ49" s="110">
        <f t="shared" si="18"/>
        <v>135783.95</v>
      </c>
      <c r="AK49" s="110">
        <f t="shared" si="18"/>
        <v>141079.862</v>
      </c>
      <c r="AL49" s="110">
        <f t="shared" si="18"/>
        <v>133778.55</v>
      </c>
      <c r="AM49" s="110">
        <f t="shared" si="18"/>
        <v>177484.847</v>
      </c>
      <c r="AN49" s="110">
        <f t="shared" si="18"/>
        <v>177985.162</v>
      </c>
      <c r="AO49" s="110">
        <f t="shared" si="18"/>
        <v>96537.59200000002</v>
      </c>
      <c r="AP49" s="110">
        <f t="shared" si="18"/>
        <v>50888.617</v>
      </c>
      <c r="AQ49" s="110">
        <f t="shared" si="18"/>
        <v>111125.42599999999</v>
      </c>
      <c r="AR49" s="110">
        <f t="shared" si="18"/>
        <v>99172.73700000001</v>
      </c>
      <c r="AS49" s="110">
        <f t="shared" si="18"/>
        <v>65790.326</v>
      </c>
      <c r="AT49" s="110">
        <f t="shared" si="18"/>
        <v>43699.931</v>
      </c>
      <c r="AU49" s="110">
        <f t="shared" si="18"/>
        <v>64948.14199999999</v>
      </c>
      <c r="AV49" s="110">
        <f t="shared" si="18"/>
        <v>37697.617999999995</v>
      </c>
      <c r="AW49" s="110">
        <f t="shared" si="18"/>
        <v>2453.3289999999915</v>
      </c>
      <c r="AX49" s="110">
        <f t="shared" si="18"/>
        <v>2961.9769999999953</v>
      </c>
      <c r="AY49" s="110">
        <f t="shared" si="18"/>
        <v>284776.28299999994</v>
      </c>
      <c r="AZ49" s="110">
        <f t="shared" si="18"/>
        <v>-666.7450000000006</v>
      </c>
      <c r="BA49" s="110">
        <f t="shared" si="18"/>
        <v>27410.58</v>
      </c>
      <c r="BB49" s="110">
        <f t="shared" si="18"/>
        <v>-4519.156</v>
      </c>
      <c r="BC49" s="110">
        <f t="shared" si="18"/>
        <v>23472.791999999994</v>
      </c>
      <c r="BD49" s="110">
        <f t="shared" si="18"/>
        <v>11687.343</v>
      </c>
      <c r="BE49" s="110">
        <f t="shared" si="18"/>
        <v>17907.125</v>
      </c>
      <c r="BF49" s="110">
        <f t="shared" si="18"/>
        <v>-5709.658</v>
      </c>
      <c r="BG49" s="110">
        <f t="shared" si="18"/>
        <v>1537.3900000000003</v>
      </c>
      <c r="BH49" s="110">
        <f t="shared" si="18"/>
        <v>11902.238</v>
      </c>
      <c r="BI49" s="110">
        <f t="shared" si="18"/>
        <v>-5181.942</v>
      </c>
      <c r="BJ49" s="110">
        <f t="shared" si="18"/>
        <v>-5684.104999999996</v>
      </c>
      <c r="BK49" s="110">
        <f t="shared" si="18"/>
        <v>56431.19999999999</v>
      </c>
      <c r="BL49" s="110">
        <f t="shared" si="18"/>
        <v>-1038.9199999999996</v>
      </c>
      <c r="BM49" s="110">
        <f t="shared" si="18"/>
        <v>-496.85599999999994</v>
      </c>
      <c r="BN49" s="110">
        <f t="shared" si="18"/>
        <v>0</v>
      </c>
      <c r="BO49" s="110">
        <f t="shared" si="18"/>
        <v>-3.922195901395753E-12</v>
      </c>
      <c r="BP49" s="110"/>
      <c r="BQ49" s="110"/>
      <c r="BR49" s="110"/>
      <c r="BS49" s="114">
        <f t="shared" si="0"/>
        <v>49599710.53710001</v>
      </c>
      <c r="BT49" s="114">
        <f t="shared" si="1"/>
        <v>6470878.557</v>
      </c>
      <c r="BU49" s="114">
        <f t="shared" si="2"/>
        <v>14050278.006000005</v>
      </c>
      <c r="BV49" s="114">
        <f t="shared" si="3"/>
        <v>24582475.271000005</v>
      </c>
      <c r="BW49" s="114">
        <f t="shared" si="4"/>
        <v>45103631.83400001</v>
      </c>
      <c r="BX49" s="114">
        <f t="shared" si="5"/>
        <v>4496078.7031000005</v>
      </c>
      <c r="BY49" s="31"/>
      <c r="BZ49" s="114">
        <f t="shared" si="6"/>
        <v>49599710.53710001</v>
      </c>
    </row>
    <row r="50" spans="1:78" ht="8.25" customHeight="1">
      <c r="A50" s="50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14"/>
      <c r="BT50" s="114"/>
      <c r="BU50" s="114"/>
      <c r="BV50" s="114"/>
      <c r="BW50" s="114"/>
      <c r="BX50" s="114"/>
      <c r="BY50" s="31"/>
      <c r="BZ50" s="114"/>
    </row>
    <row r="51" spans="1:78" ht="13.5" customHeight="1">
      <c r="A51" s="52" t="s">
        <v>389</v>
      </c>
      <c r="B51" s="110">
        <f aca="true" t="shared" si="19" ref="B51:AG51">SUM(B52:B53)</f>
        <v>0</v>
      </c>
      <c r="C51" s="110">
        <f t="shared" si="19"/>
        <v>0</v>
      </c>
      <c r="D51" s="110">
        <f t="shared" si="19"/>
        <v>0</v>
      </c>
      <c r="E51" s="110">
        <f t="shared" si="19"/>
        <v>0</v>
      </c>
      <c r="F51" s="110">
        <f t="shared" si="19"/>
        <v>0</v>
      </c>
      <c r="G51" s="110">
        <f t="shared" si="19"/>
        <v>0</v>
      </c>
      <c r="H51" s="110">
        <f t="shared" si="19"/>
        <v>0</v>
      </c>
      <c r="I51" s="110">
        <f t="shared" si="19"/>
        <v>0</v>
      </c>
      <c r="J51" s="110">
        <f t="shared" si="19"/>
        <v>0</v>
      </c>
      <c r="K51" s="110">
        <f t="shared" si="19"/>
        <v>0</v>
      </c>
      <c r="L51" s="110">
        <f t="shared" si="19"/>
        <v>0</v>
      </c>
      <c r="M51" s="110">
        <f t="shared" si="19"/>
        <v>0</v>
      </c>
      <c r="N51" s="110">
        <f t="shared" si="19"/>
        <v>0</v>
      </c>
      <c r="O51" s="110">
        <f t="shared" si="19"/>
        <v>0</v>
      </c>
      <c r="P51" s="110">
        <f t="shared" si="19"/>
        <v>0</v>
      </c>
      <c r="Q51" s="110">
        <f t="shared" si="19"/>
        <v>0</v>
      </c>
      <c r="R51" s="110">
        <f t="shared" si="19"/>
        <v>0</v>
      </c>
      <c r="S51" s="110">
        <f t="shared" si="19"/>
        <v>0</v>
      </c>
      <c r="T51" s="110">
        <f t="shared" si="19"/>
        <v>0</v>
      </c>
      <c r="U51" s="110">
        <f t="shared" si="19"/>
        <v>0</v>
      </c>
      <c r="V51" s="110">
        <f t="shared" si="19"/>
        <v>0</v>
      </c>
      <c r="W51" s="110">
        <f t="shared" si="19"/>
        <v>0</v>
      </c>
      <c r="X51" s="110">
        <f t="shared" si="19"/>
        <v>0</v>
      </c>
      <c r="Y51" s="110">
        <f t="shared" si="19"/>
        <v>0</v>
      </c>
      <c r="Z51" s="110">
        <f t="shared" si="19"/>
        <v>0</v>
      </c>
      <c r="AA51" s="110">
        <f t="shared" si="19"/>
        <v>0</v>
      </c>
      <c r="AB51" s="110">
        <f t="shared" si="19"/>
        <v>0</v>
      </c>
      <c r="AC51" s="110">
        <f t="shared" si="19"/>
        <v>0</v>
      </c>
      <c r="AD51" s="110">
        <f t="shared" si="19"/>
        <v>0</v>
      </c>
      <c r="AE51" s="110">
        <f t="shared" si="19"/>
        <v>0</v>
      </c>
      <c r="AF51" s="110">
        <f t="shared" si="19"/>
        <v>0</v>
      </c>
      <c r="AG51" s="110">
        <f t="shared" si="19"/>
        <v>0</v>
      </c>
      <c r="AH51" s="110">
        <f aca="true" t="shared" si="20" ref="AH51:BL51">SUM(AH52:AH53)</f>
        <v>0</v>
      </c>
      <c r="AI51" s="110">
        <f t="shared" si="20"/>
        <v>0</v>
      </c>
      <c r="AJ51" s="110">
        <f t="shared" si="20"/>
        <v>0</v>
      </c>
      <c r="AK51" s="110">
        <f t="shared" si="20"/>
        <v>0</v>
      </c>
      <c r="AL51" s="110">
        <f t="shared" si="20"/>
        <v>0</v>
      </c>
      <c r="AM51" s="110">
        <f t="shared" si="20"/>
        <v>0</v>
      </c>
      <c r="AN51" s="110">
        <f t="shared" si="20"/>
        <v>0</v>
      </c>
      <c r="AO51" s="110">
        <f t="shared" si="20"/>
        <v>0</v>
      </c>
      <c r="AP51" s="110">
        <f t="shared" si="20"/>
        <v>0</v>
      </c>
      <c r="AQ51" s="110">
        <f t="shared" si="20"/>
        <v>0</v>
      </c>
      <c r="AR51" s="110">
        <f t="shared" si="20"/>
        <v>0</v>
      </c>
      <c r="AS51" s="110">
        <f t="shared" si="20"/>
        <v>0</v>
      </c>
      <c r="AT51" s="110">
        <f t="shared" si="20"/>
        <v>0</v>
      </c>
      <c r="AU51" s="110">
        <f t="shared" si="20"/>
        <v>0</v>
      </c>
      <c r="AV51" s="110">
        <f t="shared" si="20"/>
        <v>0</v>
      </c>
      <c r="AW51" s="110">
        <f t="shared" si="20"/>
        <v>0</v>
      </c>
      <c r="AX51" s="110">
        <f t="shared" si="20"/>
        <v>0</v>
      </c>
      <c r="AY51" s="110">
        <f t="shared" si="20"/>
        <v>0</v>
      </c>
      <c r="AZ51" s="110">
        <f t="shared" si="20"/>
        <v>106.149</v>
      </c>
      <c r="BA51" s="110">
        <f t="shared" si="20"/>
        <v>0</v>
      </c>
      <c r="BB51" s="110">
        <f t="shared" si="20"/>
        <v>0</v>
      </c>
      <c r="BC51" s="110">
        <f t="shared" si="20"/>
        <v>0</v>
      </c>
      <c r="BD51" s="110">
        <f t="shared" si="20"/>
        <v>0</v>
      </c>
      <c r="BE51" s="110">
        <f t="shared" si="20"/>
        <v>0</v>
      </c>
      <c r="BF51" s="110">
        <f t="shared" si="20"/>
        <v>0</v>
      </c>
      <c r="BG51" s="110">
        <f t="shared" si="20"/>
        <v>0</v>
      </c>
      <c r="BH51" s="110">
        <f t="shared" si="20"/>
        <v>0</v>
      </c>
      <c r="BI51" s="110">
        <f t="shared" si="20"/>
        <v>0</v>
      </c>
      <c r="BJ51" s="110">
        <f t="shared" si="20"/>
        <v>0</v>
      </c>
      <c r="BK51" s="110">
        <f t="shared" si="20"/>
        <v>0</v>
      </c>
      <c r="BL51" s="110">
        <f t="shared" si="20"/>
        <v>0</v>
      </c>
      <c r="BM51" s="110">
        <f>SUM(BM52:BM53)</f>
        <v>0</v>
      </c>
      <c r="BN51" s="110">
        <f>SUM(BN52:BN53)</f>
        <v>0</v>
      </c>
      <c r="BO51" s="110">
        <f>SUM(BO52:BO53)</f>
        <v>0</v>
      </c>
      <c r="BP51" s="110"/>
      <c r="BQ51" s="110"/>
      <c r="BR51" s="110"/>
      <c r="BS51" s="114">
        <f t="shared" si="0"/>
        <v>106.149</v>
      </c>
      <c r="BT51" s="114">
        <f t="shared" si="1"/>
        <v>0</v>
      </c>
      <c r="BU51" s="114">
        <f t="shared" si="2"/>
        <v>0</v>
      </c>
      <c r="BV51" s="114">
        <f t="shared" si="3"/>
        <v>106.149</v>
      </c>
      <c r="BW51" s="114">
        <f t="shared" si="4"/>
        <v>106.149</v>
      </c>
      <c r="BX51" s="114">
        <f t="shared" si="5"/>
        <v>0</v>
      </c>
      <c r="BY51" s="31"/>
      <c r="BZ51" s="114">
        <f t="shared" si="6"/>
        <v>106.149</v>
      </c>
    </row>
    <row r="52" spans="1:78" ht="12.75" customHeight="1" outlineLevel="1">
      <c r="A52" s="51" t="s">
        <v>357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106.149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/>
      <c r="BQ52" s="12"/>
      <c r="BR52" s="12"/>
      <c r="BS52" s="114">
        <f t="shared" si="0"/>
        <v>106.149</v>
      </c>
      <c r="BT52" s="114">
        <f t="shared" si="1"/>
        <v>0</v>
      </c>
      <c r="BU52" s="114">
        <f t="shared" si="2"/>
        <v>0</v>
      </c>
      <c r="BV52" s="114">
        <f t="shared" si="3"/>
        <v>106.149</v>
      </c>
      <c r="BW52" s="114">
        <f t="shared" si="4"/>
        <v>106.149</v>
      </c>
      <c r="BX52" s="114">
        <f t="shared" si="5"/>
        <v>0</v>
      </c>
      <c r="BY52" s="31"/>
      <c r="BZ52" s="114">
        <f t="shared" si="6"/>
        <v>106.149</v>
      </c>
    </row>
    <row r="53" spans="1:78" ht="12.75" customHeight="1" outlineLevel="1">
      <c r="A53" s="51" t="s">
        <v>358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/>
      <c r="BQ53" s="12"/>
      <c r="BR53" s="12"/>
      <c r="BS53" s="114">
        <f t="shared" si="0"/>
        <v>0</v>
      </c>
      <c r="BT53" s="114">
        <f t="shared" si="1"/>
        <v>0</v>
      </c>
      <c r="BU53" s="114">
        <f t="shared" si="2"/>
        <v>0</v>
      </c>
      <c r="BV53" s="114">
        <f t="shared" si="3"/>
        <v>0</v>
      </c>
      <c r="BW53" s="114">
        <f t="shared" si="4"/>
        <v>0</v>
      </c>
      <c r="BX53" s="114">
        <f t="shared" si="5"/>
        <v>0</v>
      </c>
      <c r="BY53" s="31"/>
      <c r="BZ53" s="114">
        <f t="shared" si="6"/>
        <v>0</v>
      </c>
    </row>
    <row r="54" spans="1:78" ht="7.5" customHeight="1">
      <c r="A54" s="5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14"/>
      <c r="BT54" s="114"/>
      <c r="BU54" s="114"/>
      <c r="BV54" s="114"/>
      <c r="BW54" s="114"/>
      <c r="BX54" s="114"/>
      <c r="BY54" s="31"/>
      <c r="BZ54" s="114"/>
    </row>
    <row r="55" spans="1:78" ht="12" customHeight="1">
      <c r="A55" s="52" t="s">
        <v>390</v>
      </c>
      <c r="B55" s="12">
        <v>649985.413</v>
      </c>
      <c r="C55" s="12">
        <v>428473.695</v>
      </c>
      <c r="D55" s="12">
        <v>433461.385</v>
      </c>
      <c r="E55" s="12">
        <v>372045.285</v>
      </c>
      <c r="F55" s="12">
        <v>360219.786</v>
      </c>
      <c r="G55" s="12">
        <v>169270.243</v>
      </c>
      <c r="H55" s="12">
        <v>166274.598</v>
      </c>
      <c r="I55" s="12">
        <v>168843.024</v>
      </c>
      <c r="J55" s="12">
        <v>137833.013</v>
      </c>
      <c r="K55" s="12">
        <v>129519.929</v>
      </c>
      <c r="L55" s="12">
        <v>135809.13</v>
      </c>
      <c r="M55" s="12">
        <v>117270.246</v>
      </c>
      <c r="N55" s="12">
        <v>113036.138</v>
      </c>
      <c r="O55" s="12">
        <v>101429.36</v>
      </c>
      <c r="P55" s="12">
        <v>110292.814</v>
      </c>
      <c r="Q55" s="12">
        <v>90313.209</v>
      </c>
      <c r="R55" s="12">
        <v>81793.14</v>
      </c>
      <c r="S55" s="12">
        <v>63571.814</v>
      </c>
      <c r="T55" s="12">
        <v>57595.356</v>
      </c>
      <c r="U55" s="12">
        <v>61335.56</v>
      </c>
      <c r="V55" s="12">
        <v>62008.801</v>
      </c>
      <c r="W55" s="12">
        <v>55248.76</v>
      </c>
      <c r="X55" s="12">
        <v>45015.263</v>
      </c>
      <c r="Y55" s="12">
        <v>-5770.635</v>
      </c>
      <c r="Z55" s="12">
        <v>52626.966</v>
      </c>
      <c r="AA55" s="12">
        <v>16985.708</v>
      </c>
      <c r="AB55" s="12">
        <v>31755.414</v>
      </c>
      <c r="AC55" s="12">
        <v>30564.923</v>
      </c>
      <c r="AD55" s="12">
        <v>29846.193</v>
      </c>
      <c r="AE55" s="12">
        <v>27764.458</v>
      </c>
      <c r="AF55" s="12">
        <v>22370.035</v>
      </c>
      <c r="AG55" s="12">
        <v>25389.14</v>
      </c>
      <c r="AH55" s="12">
        <v>26084.745</v>
      </c>
      <c r="AI55" s="12">
        <v>17324</v>
      </c>
      <c r="AJ55" s="12">
        <v>19934.202</v>
      </c>
      <c r="AK55" s="12">
        <v>19774.317</v>
      </c>
      <c r="AL55" s="12">
        <v>16589.394</v>
      </c>
      <c r="AM55" s="12">
        <v>17803.626</v>
      </c>
      <c r="AN55" s="12">
        <v>14741.067</v>
      </c>
      <c r="AO55" s="12">
        <v>12673.409</v>
      </c>
      <c r="AP55" s="12">
        <v>12774.987</v>
      </c>
      <c r="AQ55" s="12">
        <f>10764.118+74.286</f>
        <v>10838.404</v>
      </c>
      <c r="AR55" s="12">
        <v>9605.457</v>
      </c>
      <c r="AS55" s="12">
        <v>10074.43</v>
      </c>
      <c r="AT55" s="12">
        <v>10158.116</v>
      </c>
      <c r="AU55" s="12">
        <v>9668.512</v>
      </c>
      <c r="AV55" s="12">
        <v>7813.012</v>
      </c>
      <c r="AW55" s="12">
        <v>7727.921</v>
      </c>
      <c r="AX55" s="12">
        <v>6678.719</v>
      </c>
      <c r="AY55" s="12">
        <v>2839.477</v>
      </c>
      <c r="AZ55" s="12">
        <v>5429.784</v>
      </c>
      <c r="BA55" s="12">
        <v>4997.393</v>
      </c>
      <c r="BB55" s="12">
        <v>4966.519</v>
      </c>
      <c r="BC55" s="12">
        <v>4490.052</v>
      </c>
      <c r="BD55" s="12">
        <v>2991.481</v>
      </c>
      <c r="BE55" s="12">
        <v>2361.458</v>
      </c>
      <c r="BF55" s="12">
        <v>2110.026</v>
      </c>
      <c r="BG55" s="12">
        <v>1903.089</v>
      </c>
      <c r="BH55" s="12">
        <v>1794.247</v>
      </c>
      <c r="BI55" s="12">
        <v>1724.54</v>
      </c>
      <c r="BJ55" s="12">
        <v>1224.409</v>
      </c>
      <c r="BK55" s="12">
        <v>15.646</v>
      </c>
      <c r="BL55" s="12">
        <v>454.884</v>
      </c>
      <c r="BM55" s="12">
        <v>140.504</v>
      </c>
      <c r="BN55" s="12">
        <v>0</v>
      </c>
      <c r="BO55" s="12">
        <v>0</v>
      </c>
      <c r="BP55" s="12"/>
      <c r="BQ55" s="12"/>
      <c r="BR55" s="12"/>
      <c r="BS55" s="114">
        <f t="shared" si="0"/>
        <v>4609885.990999997</v>
      </c>
      <c r="BT55" s="114">
        <f t="shared" si="1"/>
        <v>645445.139</v>
      </c>
      <c r="BU55" s="114">
        <f t="shared" si="2"/>
        <v>1699165.9470000002</v>
      </c>
      <c r="BV55" s="114">
        <f t="shared" si="3"/>
        <v>2091851.0210000002</v>
      </c>
      <c r="BW55" s="114">
        <f t="shared" si="4"/>
        <v>4436462.107000001</v>
      </c>
      <c r="BX55" s="114">
        <f t="shared" si="5"/>
        <v>173423.88400000005</v>
      </c>
      <c r="BY55" s="31"/>
      <c r="BZ55" s="114">
        <f t="shared" si="6"/>
        <v>4609885.991</v>
      </c>
    </row>
    <row r="56" spans="1:78" ht="8.25" customHeight="1">
      <c r="A56" s="5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14"/>
      <c r="BT56" s="114"/>
      <c r="BU56" s="114"/>
      <c r="BV56" s="114"/>
      <c r="BW56" s="114"/>
      <c r="BX56" s="114"/>
      <c r="BY56" s="31"/>
      <c r="BZ56" s="114"/>
    </row>
    <row r="57" spans="1:78" ht="12.75">
      <c r="A57" s="52" t="s">
        <v>391</v>
      </c>
      <c r="B57" s="110">
        <f aca="true" t="shared" si="21" ref="B57:AG57">B49+B51+B55</f>
        <v>7500326.135</v>
      </c>
      <c r="C57" s="110">
        <f t="shared" si="21"/>
        <v>4003297.253</v>
      </c>
      <c r="D57" s="110">
        <f t="shared" si="21"/>
        <v>2736663.255</v>
      </c>
      <c r="E57" s="110">
        <f t="shared" si="21"/>
        <v>3480748.0090000005</v>
      </c>
      <c r="F57" s="110">
        <f t="shared" si="21"/>
        <v>3252803.0969999996</v>
      </c>
      <c r="G57" s="110">
        <f t="shared" si="21"/>
        <v>1966306.278</v>
      </c>
      <c r="H57" s="110">
        <f t="shared" si="21"/>
        <v>1458361.7480000001</v>
      </c>
      <c r="I57" s="110">
        <f t="shared" si="21"/>
        <v>7144581.412</v>
      </c>
      <c r="J57" s="110">
        <f t="shared" si="21"/>
        <v>954469.5580000001</v>
      </c>
      <c r="K57" s="110">
        <f t="shared" si="21"/>
        <v>1379153.525</v>
      </c>
      <c r="L57" s="110">
        <f t="shared" si="21"/>
        <v>784151.1109999999</v>
      </c>
      <c r="M57" s="110">
        <f t="shared" si="21"/>
        <v>838090.595</v>
      </c>
      <c r="N57" s="110">
        <f t="shared" si="21"/>
        <v>1141792.9919999999</v>
      </c>
      <c r="O57" s="110">
        <f t="shared" si="21"/>
        <v>1254368.9150000003</v>
      </c>
      <c r="P57" s="110">
        <f t="shared" si="21"/>
        <v>983358.0860000001</v>
      </c>
      <c r="Q57" s="110">
        <f t="shared" si="21"/>
        <v>812334.6690000001</v>
      </c>
      <c r="R57" s="110">
        <f t="shared" si="21"/>
        <v>1357053.9769999997</v>
      </c>
      <c r="S57" s="110">
        <f t="shared" si="21"/>
        <v>560483.706</v>
      </c>
      <c r="T57" s="110">
        <f t="shared" si="21"/>
        <v>1186684.371</v>
      </c>
      <c r="U57" s="110">
        <f t="shared" si="21"/>
        <v>678244.3330000001</v>
      </c>
      <c r="V57" s="110">
        <f t="shared" si="21"/>
        <v>516509.11400000006</v>
      </c>
      <c r="W57" s="110">
        <f t="shared" si="21"/>
        <v>351692.12</v>
      </c>
      <c r="X57" s="110">
        <f t="shared" si="21"/>
        <v>1144999.8791</v>
      </c>
      <c r="Y57" s="110">
        <f t="shared" si="21"/>
        <v>283379.89099999995</v>
      </c>
      <c r="Z57" s="110">
        <f t="shared" si="21"/>
        <v>479924.4590000001</v>
      </c>
      <c r="AA57" s="110">
        <f t="shared" si="21"/>
        <v>2822159.5680000004</v>
      </c>
      <c r="AB57" s="110">
        <f t="shared" si="21"/>
        <v>236345.86600000004</v>
      </c>
      <c r="AC57" s="110">
        <f t="shared" si="21"/>
        <v>258638.58300000004</v>
      </c>
      <c r="AD57" s="110">
        <f t="shared" si="21"/>
        <v>188885.65399999998</v>
      </c>
      <c r="AE57" s="110">
        <f t="shared" si="21"/>
        <v>178057.90899999999</v>
      </c>
      <c r="AF57" s="110">
        <f t="shared" si="21"/>
        <v>774846.2800000001</v>
      </c>
      <c r="AG57" s="110">
        <f t="shared" si="21"/>
        <v>321100.91699999996</v>
      </c>
      <c r="AH57" s="110">
        <f aca="true" t="shared" si="22" ref="AH57:BO57">AH49+AH51+AH55</f>
        <v>132195.546</v>
      </c>
      <c r="AI57" s="110">
        <f t="shared" si="22"/>
        <v>1070073</v>
      </c>
      <c r="AJ57" s="110">
        <f t="shared" si="22"/>
        <v>155718.152</v>
      </c>
      <c r="AK57" s="110">
        <f t="shared" si="22"/>
        <v>160854.179</v>
      </c>
      <c r="AL57" s="110">
        <f t="shared" si="22"/>
        <v>150367.944</v>
      </c>
      <c r="AM57" s="110">
        <f t="shared" si="22"/>
        <v>195288.473</v>
      </c>
      <c r="AN57" s="110">
        <f t="shared" si="22"/>
        <v>192726.22900000002</v>
      </c>
      <c r="AO57" s="110">
        <f t="shared" si="22"/>
        <v>109211.00100000002</v>
      </c>
      <c r="AP57" s="110">
        <f t="shared" si="22"/>
        <v>63663.604</v>
      </c>
      <c r="AQ57" s="110">
        <f t="shared" si="22"/>
        <v>121963.82999999999</v>
      </c>
      <c r="AR57" s="110">
        <f t="shared" si="22"/>
        <v>108778.194</v>
      </c>
      <c r="AS57" s="110">
        <f t="shared" si="22"/>
        <v>75864.756</v>
      </c>
      <c r="AT57" s="110">
        <f t="shared" si="22"/>
        <v>53858.047</v>
      </c>
      <c r="AU57" s="110">
        <f t="shared" si="22"/>
        <v>74616.654</v>
      </c>
      <c r="AV57" s="110">
        <f t="shared" si="22"/>
        <v>45510.63</v>
      </c>
      <c r="AW57" s="110">
        <f t="shared" si="22"/>
        <v>10181.249999999993</v>
      </c>
      <c r="AX57" s="110">
        <f t="shared" si="22"/>
        <v>9640.695999999996</v>
      </c>
      <c r="AY57" s="110">
        <f t="shared" si="22"/>
        <v>287615.75999999995</v>
      </c>
      <c r="AZ57" s="110">
        <f t="shared" si="22"/>
        <v>4869.187999999999</v>
      </c>
      <c r="BA57" s="110">
        <f t="shared" si="22"/>
        <v>32407.973</v>
      </c>
      <c r="BB57" s="110">
        <f t="shared" si="22"/>
        <v>447.3630000000003</v>
      </c>
      <c r="BC57" s="110">
        <f t="shared" si="22"/>
        <v>27962.843999999994</v>
      </c>
      <c r="BD57" s="110">
        <f t="shared" si="22"/>
        <v>14678.824</v>
      </c>
      <c r="BE57" s="110">
        <f t="shared" si="22"/>
        <v>20268.583</v>
      </c>
      <c r="BF57" s="110">
        <f t="shared" si="22"/>
        <v>-3599.6320000000005</v>
      </c>
      <c r="BG57" s="110">
        <f t="shared" si="22"/>
        <v>3440.4790000000003</v>
      </c>
      <c r="BH57" s="110">
        <f t="shared" si="22"/>
        <v>13696.484999999999</v>
      </c>
      <c r="BI57" s="110">
        <f t="shared" si="22"/>
        <v>-3457.402</v>
      </c>
      <c r="BJ57" s="110">
        <f t="shared" si="22"/>
        <v>-4459.695999999996</v>
      </c>
      <c r="BK57" s="110">
        <f t="shared" si="22"/>
        <v>56446.84599999999</v>
      </c>
      <c r="BL57" s="110">
        <f t="shared" si="22"/>
        <v>-584.0359999999996</v>
      </c>
      <c r="BM57" s="110">
        <f t="shared" si="22"/>
        <v>-356.352</v>
      </c>
      <c r="BN57" s="110">
        <f t="shared" si="22"/>
        <v>0</v>
      </c>
      <c r="BO57" s="110">
        <f t="shared" si="22"/>
        <v>-3.922195901395753E-12</v>
      </c>
      <c r="BP57" s="110"/>
      <c r="BQ57" s="110"/>
      <c r="BR57" s="110"/>
      <c r="BS57" s="114">
        <f t="shared" si="0"/>
        <v>54209702.67709998</v>
      </c>
      <c r="BT57" s="114">
        <f t="shared" si="1"/>
        <v>7116323.6959999995</v>
      </c>
      <c r="BU57" s="114">
        <f t="shared" si="2"/>
        <v>15749443.953</v>
      </c>
      <c r="BV57" s="114">
        <f t="shared" si="3"/>
        <v>26674432.440999992</v>
      </c>
      <c r="BW57" s="114">
        <f t="shared" si="4"/>
        <v>49540200.08999999</v>
      </c>
      <c r="BX57" s="114">
        <f t="shared" si="5"/>
        <v>4669502.587100001</v>
      </c>
      <c r="BY57" s="31"/>
      <c r="BZ57" s="114">
        <f t="shared" si="6"/>
        <v>54209702.67709999</v>
      </c>
    </row>
    <row r="58" spans="1:78" ht="7.5" customHeight="1">
      <c r="A58" s="50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14"/>
      <c r="BT58" s="114"/>
      <c r="BU58" s="114"/>
      <c r="BV58" s="114"/>
      <c r="BW58" s="114"/>
      <c r="BX58" s="114"/>
      <c r="BY58" s="31"/>
      <c r="BZ58" s="114"/>
    </row>
    <row r="59" spans="1:78" ht="12.75">
      <c r="A59" s="52" t="s">
        <v>392</v>
      </c>
      <c r="B59" s="12">
        <v>53359497.076</v>
      </c>
      <c r="C59" s="12">
        <v>32885818.536</v>
      </c>
      <c r="D59" s="12">
        <v>33665680.666</v>
      </c>
      <c r="E59" s="12">
        <v>28537644.837</v>
      </c>
      <c r="F59" s="12">
        <v>27576586.469</v>
      </c>
      <c r="G59" s="12">
        <v>12830016.323</v>
      </c>
      <c r="H59" s="12">
        <v>13200552.79</v>
      </c>
      <c r="I59" s="12">
        <v>7097774.621</v>
      </c>
      <c r="J59" s="12">
        <v>11101281.41</v>
      </c>
      <c r="K59" s="12">
        <v>9949202.256</v>
      </c>
      <c r="L59" s="12">
        <v>10543644.677</v>
      </c>
      <c r="M59" s="12">
        <v>9062759.103</v>
      </c>
      <c r="N59" s="12">
        <v>8649231.378</v>
      </c>
      <c r="O59" s="12">
        <v>7651760.456</v>
      </c>
      <c r="P59" s="12">
        <v>7227714.101</v>
      </c>
      <c r="Q59" s="12">
        <v>6937468.118</v>
      </c>
      <c r="R59" s="12">
        <v>6093838.095</v>
      </c>
      <c r="S59" s="12">
        <v>4922046.996</v>
      </c>
      <c r="T59" s="12">
        <v>4250973.576</v>
      </c>
      <c r="U59" s="12">
        <v>4701050</v>
      </c>
      <c r="V59" s="12">
        <v>4773176.729</v>
      </c>
      <c r="W59" s="12">
        <v>4281023.992</v>
      </c>
      <c r="X59" s="12">
        <v>3260226.247</v>
      </c>
      <c r="Y59" s="12">
        <v>3800858.142</v>
      </c>
      <c r="Z59" s="12">
        <v>3441793.974</v>
      </c>
      <c r="AA59" s="12">
        <v>615911.397</v>
      </c>
      <c r="AB59" s="12">
        <v>2451659.766</v>
      </c>
      <c r="AC59" s="12">
        <v>2367664.799</v>
      </c>
      <c r="AD59" s="12">
        <v>2312577.994</v>
      </c>
      <c r="AE59" s="12">
        <v>2150927.761</v>
      </c>
      <c r="AF59" s="12">
        <v>1539296.903</v>
      </c>
      <c r="AG59" s="12">
        <v>1926004.472</v>
      </c>
      <c r="AH59" s="12">
        <v>2018092.528</v>
      </c>
      <c r="AI59" s="12">
        <v>932484</v>
      </c>
      <c r="AJ59" s="12">
        <v>1538045.479</v>
      </c>
      <c r="AK59" s="12">
        <v>1522875.973</v>
      </c>
      <c r="AL59" s="12">
        <v>1267092.172</v>
      </c>
      <c r="AM59" s="12">
        <v>1145154.233</v>
      </c>
      <c r="AN59" s="12">
        <v>1116314.052</v>
      </c>
      <c r="AO59" s="12">
        <v>974429.48</v>
      </c>
      <c r="AP59" s="12">
        <v>994313.993</v>
      </c>
      <c r="AQ59" s="12">
        <v>826099.983</v>
      </c>
      <c r="AR59" s="12">
        <v>756335.21</v>
      </c>
      <c r="AS59" s="12">
        <v>777562.588</v>
      </c>
      <c r="AT59" s="12">
        <v>789116.466</v>
      </c>
      <c r="AU59" s="12">
        <v>745289.116</v>
      </c>
      <c r="AV59" s="12">
        <v>607931.465</v>
      </c>
      <c r="AW59" s="12">
        <v>608859.476</v>
      </c>
      <c r="AX59" s="12">
        <v>525982.177</v>
      </c>
      <c r="AY59" s="12">
        <v>151708.424</v>
      </c>
      <c r="AZ59" s="12">
        <f>428390.579</f>
        <v>428390.579</v>
      </c>
      <c r="BA59" s="12">
        <v>387061.195</v>
      </c>
      <c r="BB59" s="12">
        <v>391064.473</v>
      </c>
      <c r="BC59" s="12">
        <v>347864.197</v>
      </c>
      <c r="BD59" s="12">
        <v>232462.082</v>
      </c>
      <c r="BE59" s="12">
        <v>181586.855</v>
      </c>
      <c r="BF59" s="12">
        <v>165755.93</v>
      </c>
      <c r="BG59" s="12">
        <v>149601.198</v>
      </c>
      <c r="BH59" s="12">
        <v>118678.984</v>
      </c>
      <c r="BI59" s="12">
        <v>108384.022</v>
      </c>
      <c r="BJ59" s="12">
        <v>98072.448</v>
      </c>
      <c r="BK59" s="12">
        <v>0</v>
      </c>
      <c r="BL59" s="12">
        <v>35817.644</v>
      </c>
      <c r="BM59" s="12">
        <v>11210.747</v>
      </c>
      <c r="BN59" s="12">
        <v>0</v>
      </c>
      <c r="BO59" s="12">
        <v>0</v>
      </c>
      <c r="BP59" s="12"/>
      <c r="BQ59" s="12"/>
      <c r="BR59" s="12"/>
      <c r="BS59" s="114">
        <f t="shared" si="0"/>
        <v>353119300.8289999</v>
      </c>
      <c r="BT59" s="114">
        <f t="shared" si="1"/>
        <v>49322635.994</v>
      </c>
      <c r="BU59" s="114">
        <f t="shared" si="2"/>
        <v>128498780.08900002</v>
      </c>
      <c r="BV59" s="114">
        <f t="shared" si="3"/>
        <v>163003619.71899998</v>
      </c>
      <c r="BW59" s="114">
        <f t="shared" si="4"/>
        <v>340825035.802</v>
      </c>
      <c r="BX59" s="114">
        <f t="shared" si="5"/>
        <v>12294265.027</v>
      </c>
      <c r="BY59" s="31"/>
      <c r="BZ59" s="114">
        <f t="shared" si="6"/>
        <v>353119300.829</v>
      </c>
    </row>
    <row r="60" spans="1:78" ht="10.5" customHeight="1">
      <c r="A60" s="5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14"/>
      <c r="BT60" s="114"/>
      <c r="BU60" s="114"/>
      <c r="BV60" s="114"/>
      <c r="BW60" s="114"/>
      <c r="BX60" s="114"/>
      <c r="BY60" s="31"/>
      <c r="BZ60" s="114"/>
    </row>
    <row r="61" spans="1:78" ht="12" customHeight="1">
      <c r="A61" s="52" t="s">
        <v>485</v>
      </c>
      <c r="BS61" s="114"/>
      <c r="BT61" s="114"/>
      <c r="BU61" s="114"/>
      <c r="BV61" s="114"/>
      <c r="BW61" s="114"/>
      <c r="BX61" s="114"/>
      <c r="BY61" s="31"/>
      <c r="BZ61" s="114"/>
    </row>
    <row r="62" spans="1:78" ht="12" customHeight="1">
      <c r="A62" s="52" t="s">
        <v>486</v>
      </c>
      <c r="B62" s="110">
        <f aca="true" t="shared" si="23" ref="B62:AG62">B59+B57</f>
        <v>60859823.210999995</v>
      </c>
      <c r="C62" s="110">
        <f t="shared" si="23"/>
        <v>36889115.789</v>
      </c>
      <c r="D62" s="110">
        <f t="shared" si="23"/>
        <v>36402343.921000004</v>
      </c>
      <c r="E62" s="110">
        <f t="shared" si="23"/>
        <v>32018392.846</v>
      </c>
      <c r="F62" s="110">
        <f t="shared" si="23"/>
        <v>30829389.566</v>
      </c>
      <c r="G62" s="110">
        <f t="shared" si="23"/>
        <v>14796322.601</v>
      </c>
      <c r="H62" s="110">
        <f t="shared" si="23"/>
        <v>14658914.537999999</v>
      </c>
      <c r="I62" s="110">
        <f t="shared" si="23"/>
        <v>14242356.033</v>
      </c>
      <c r="J62" s="110">
        <f t="shared" si="23"/>
        <v>12055750.968</v>
      </c>
      <c r="K62" s="110">
        <f t="shared" si="23"/>
        <v>11328355.781</v>
      </c>
      <c r="L62" s="110">
        <f t="shared" si="23"/>
        <v>11327795.787999999</v>
      </c>
      <c r="M62" s="110">
        <f t="shared" si="23"/>
        <v>9900849.698</v>
      </c>
      <c r="N62" s="110">
        <f t="shared" si="23"/>
        <v>9791024.370000001</v>
      </c>
      <c r="O62" s="110">
        <f t="shared" si="23"/>
        <v>8906129.371000001</v>
      </c>
      <c r="P62" s="110">
        <f t="shared" si="23"/>
        <v>8211072.187</v>
      </c>
      <c r="Q62" s="110">
        <f t="shared" si="23"/>
        <v>7749802.787</v>
      </c>
      <c r="R62" s="110">
        <f t="shared" si="23"/>
        <v>7450892.072</v>
      </c>
      <c r="S62" s="110">
        <f t="shared" si="23"/>
        <v>5482530.7020000005</v>
      </c>
      <c r="T62" s="110">
        <f t="shared" si="23"/>
        <v>5437657.947000001</v>
      </c>
      <c r="U62" s="110">
        <f t="shared" si="23"/>
        <v>5379294.333000001</v>
      </c>
      <c r="V62" s="110">
        <f t="shared" si="23"/>
        <v>5289685.843</v>
      </c>
      <c r="W62" s="110">
        <f t="shared" si="23"/>
        <v>4632716.112</v>
      </c>
      <c r="X62" s="110">
        <f t="shared" si="23"/>
        <v>4405226.1261</v>
      </c>
      <c r="Y62" s="110">
        <f t="shared" si="23"/>
        <v>4084238.033</v>
      </c>
      <c r="Z62" s="110">
        <f t="shared" si="23"/>
        <v>3921718.433</v>
      </c>
      <c r="AA62" s="110">
        <f t="shared" si="23"/>
        <v>3438070.9650000003</v>
      </c>
      <c r="AB62" s="110">
        <f t="shared" si="23"/>
        <v>2688005.6319999998</v>
      </c>
      <c r="AC62" s="110">
        <f t="shared" si="23"/>
        <v>2626303.382</v>
      </c>
      <c r="AD62" s="110">
        <f t="shared" si="23"/>
        <v>2501463.648</v>
      </c>
      <c r="AE62" s="110">
        <f t="shared" si="23"/>
        <v>2328985.67</v>
      </c>
      <c r="AF62" s="110">
        <f t="shared" si="23"/>
        <v>2314143.183</v>
      </c>
      <c r="AG62" s="110">
        <f t="shared" si="23"/>
        <v>2247105.389</v>
      </c>
      <c r="AH62" s="110">
        <f aca="true" t="shared" si="24" ref="AH62:BO62">AH59+AH57</f>
        <v>2150288.074</v>
      </c>
      <c r="AI62" s="110">
        <f t="shared" si="24"/>
        <v>2002557</v>
      </c>
      <c r="AJ62" s="110">
        <f t="shared" si="24"/>
        <v>1693763.631</v>
      </c>
      <c r="AK62" s="110">
        <f t="shared" si="24"/>
        <v>1683730.152</v>
      </c>
      <c r="AL62" s="110">
        <f t="shared" si="24"/>
        <v>1417460.116</v>
      </c>
      <c r="AM62" s="110">
        <f t="shared" si="24"/>
        <v>1340442.706</v>
      </c>
      <c r="AN62" s="110">
        <f t="shared" si="24"/>
        <v>1309040.281</v>
      </c>
      <c r="AO62" s="110">
        <f t="shared" si="24"/>
        <v>1083640.481</v>
      </c>
      <c r="AP62" s="110">
        <f t="shared" si="24"/>
        <v>1057977.597</v>
      </c>
      <c r="AQ62" s="110">
        <f t="shared" si="24"/>
        <v>948063.813</v>
      </c>
      <c r="AR62" s="110">
        <f t="shared" si="24"/>
        <v>865113.404</v>
      </c>
      <c r="AS62" s="110">
        <f t="shared" si="24"/>
        <v>853427.344</v>
      </c>
      <c r="AT62" s="110">
        <f t="shared" si="24"/>
        <v>842974.513</v>
      </c>
      <c r="AU62" s="110">
        <f t="shared" si="24"/>
        <v>819905.77</v>
      </c>
      <c r="AV62" s="110">
        <f t="shared" si="24"/>
        <v>653442.095</v>
      </c>
      <c r="AW62" s="110">
        <f t="shared" si="24"/>
        <v>619040.726</v>
      </c>
      <c r="AX62" s="110">
        <f t="shared" si="24"/>
        <v>535622.873</v>
      </c>
      <c r="AY62" s="110">
        <f t="shared" si="24"/>
        <v>439324.18399999995</v>
      </c>
      <c r="AZ62" s="110">
        <f t="shared" si="24"/>
        <v>433259.76700000005</v>
      </c>
      <c r="BA62" s="110">
        <f t="shared" si="24"/>
        <v>419469.168</v>
      </c>
      <c r="BB62" s="110">
        <f t="shared" si="24"/>
        <v>391511.836</v>
      </c>
      <c r="BC62" s="110">
        <f t="shared" si="24"/>
        <v>375827.04099999997</v>
      </c>
      <c r="BD62" s="110">
        <f t="shared" si="24"/>
        <v>247140.906</v>
      </c>
      <c r="BE62" s="110">
        <f t="shared" si="24"/>
        <v>201855.43800000002</v>
      </c>
      <c r="BF62" s="110">
        <f t="shared" si="24"/>
        <v>162156.29799999998</v>
      </c>
      <c r="BG62" s="110">
        <f t="shared" si="24"/>
        <v>153041.677</v>
      </c>
      <c r="BH62" s="110">
        <f t="shared" si="24"/>
        <v>132375.46899999998</v>
      </c>
      <c r="BI62" s="110">
        <f t="shared" si="24"/>
        <v>104926.62</v>
      </c>
      <c r="BJ62" s="110">
        <f t="shared" si="24"/>
        <v>93612.75200000001</v>
      </c>
      <c r="BK62" s="110">
        <f t="shared" si="24"/>
        <v>56446.84599999999</v>
      </c>
      <c r="BL62" s="110">
        <f t="shared" si="24"/>
        <v>35233.608</v>
      </c>
      <c r="BM62" s="110">
        <f t="shared" si="24"/>
        <v>10854.394999999999</v>
      </c>
      <c r="BN62" s="110">
        <f t="shared" si="24"/>
        <v>0</v>
      </c>
      <c r="BO62" s="110">
        <f t="shared" si="24"/>
        <v>-3.922195901395753E-12</v>
      </c>
      <c r="BP62" s="110"/>
      <c r="BQ62" s="110"/>
      <c r="BR62" s="110"/>
      <c r="BS62" s="114">
        <f t="shared" si="0"/>
        <v>407329003.5061002</v>
      </c>
      <c r="BT62" s="114">
        <f t="shared" si="1"/>
        <v>56438959.69000001</v>
      </c>
      <c r="BU62" s="114">
        <f t="shared" si="2"/>
        <v>144248224.04200003</v>
      </c>
      <c r="BV62" s="114">
        <f t="shared" si="3"/>
        <v>189678052.16</v>
      </c>
      <c r="BW62" s="114">
        <f t="shared" si="4"/>
        <v>390365235.8920001</v>
      </c>
      <c r="BX62" s="114">
        <f t="shared" si="5"/>
        <v>16963767.6141</v>
      </c>
      <c r="BY62" s="31"/>
      <c r="BZ62" s="114">
        <f t="shared" si="6"/>
        <v>407329003.50610006</v>
      </c>
    </row>
    <row r="63" spans="1:78" ht="11.25" customHeight="1">
      <c r="A63" s="5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31"/>
      <c r="BT63" s="31"/>
      <c r="BU63" s="31"/>
      <c r="BV63" s="31"/>
      <c r="BW63" s="31"/>
      <c r="BX63" s="31"/>
      <c r="BY63" s="31"/>
      <c r="BZ63" s="31"/>
    </row>
    <row r="64" ht="11.25" customHeight="1"/>
    <row r="65" ht="11.25" customHeight="1"/>
    <row r="66" ht="11.25" customHeight="1"/>
    <row r="67" ht="4.5" customHeight="1"/>
    <row r="68" spans="4:23" ht="10.5" customHeight="1">
      <c r="D68" s="33" t="s">
        <v>342</v>
      </c>
      <c r="W68" s="33" t="s">
        <v>342</v>
      </c>
    </row>
    <row r="69" spans="4:23" ht="10.5" customHeight="1">
      <c r="D69" s="33" t="s">
        <v>340</v>
      </c>
      <c r="W69" s="33" t="s">
        <v>340</v>
      </c>
    </row>
    <row r="70" spans="4:23" ht="10.5" customHeight="1">
      <c r="D70" s="33" t="s">
        <v>341</v>
      </c>
      <c r="W70" s="33" t="s">
        <v>341</v>
      </c>
    </row>
  </sheetData>
  <sheetProtection/>
  <mergeCells count="1">
    <mergeCell ref="BU1:BV2"/>
  </mergeCells>
  <printOptions/>
  <pageMargins left="0.3937007874015748" right="0.3937007874015748" top="1.535433070866142" bottom="0.7874015748031497" header="0.7086614173228347" footer="0.5511811023622047"/>
  <pageSetup horizontalDpi="300" verticalDpi="300" orientation="portrait" paperSize="9" scale="90" r:id="rId1"/>
  <headerFooter alignWithMargins="0">
    <oddHeader>&amp;C&amp;"Times New Roman,Bold"&amp;14
3.2.   YFIRLIT UM BREYTINGAR Á HREINNI EIGN 
TIL GREIÐSLU LÍFEYRIS FYRIR ÁRIÐ 1998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Z72"/>
  <sheetViews>
    <sheetView zoomScale="90" zoomScaleNormal="90" zoomScalePageLayoutView="0" workbookViewId="0" topLeftCell="A11">
      <pane xSplit="1" ySplit="5" topLeftCell="BS41" activePane="bottomRight" state="frozen"/>
      <selection pane="topLeft" activeCell="A11" sqref="A11"/>
      <selection pane="topRight" activeCell="B11" sqref="B11"/>
      <selection pane="bottomLeft" activeCell="A17" sqref="A17"/>
      <selection pane="bottomRight" activeCell="BT8" sqref="BT8"/>
    </sheetView>
  </sheetViews>
  <sheetFormatPr defaultColWidth="9.00390625" defaultRowHeight="12.75"/>
  <cols>
    <col min="1" max="1" width="26.75390625" style="46" customWidth="1"/>
    <col min="2" max="69" width="9.625" style="33" customWidth="1"/>
    <col min="70" max="70" width="9.75390625" style="33" customWidth="1"/>
    <col min="71" max="76" width="10.375" style="33" customWidth="1"/>
    <col min="77" max="77" width="2.625" style="33" customWidth="1"/>
    <col min="78" max="78" width="10.375" style="33" customWidth="1"/>
    <col min="79" max="79" width="10.25390625" style="33" customWidth="1"/>
    <col min="80" max="16384" width="9.00390625" style="33" customWidth="1"/>
  </cols>
  <sheetData>
    <row r="1" spans="1:78" ht="13.5">
      <c r="A1" s="48"/>
      <c r="B1" s="30"/>
      <c r="C1" s="30"/>
      <c r="D1" s="30"/>
      <c r="E1" s="30"/>
      <c r="F1" s="31"/>
      <c r="G1" s="12"/>
      <c r="H1" s="30"/>
      <c r="I1" s="31"/>
      <c r="J1" s="30"/>
      <c r="K1" s="31"/>
      <c r="L1" s="31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0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2"/>
      <c r="BT1" s="32"/>
      <c r="BU1" s="32"/>
      <c r="BV1" s="32"/>
      <c r="BW1" s="32"/>
      <c r="BX1" s="32"/>
      <c r="BY1" s="32"/>
      <c r="BZ1" s="32"/>
    </row>
    <row r="2" spans="1:78" ht="13.5">
      <c r="A2" s="48"/>
      <c r="B2" s="30"/>
      <c r="C2" s="30"/>
      <c r="D2" s="30"/>
      <c r="E2" s="30"/>
      <c r="F2" s="31"/>
      <c r="G2" s="12"/>
      <c r="H2" s="30"/>
      <c r="I2" s="31"/>
      <c r="J2" s="30"/>
      <c r="K2" s="31"/>
      <c r="L2" s="31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0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2"/>
      <c r="BT2" s="32"/>
      <c r="BU2" s="32"/>
      <c r="BV2" s="32"/>
      <c r="BW2" s="32"/>
      <c r="BX2" s="32"/>
      <c r="BY2" s="32"/>
      <c r="BZ2" s="32"/>
    </row>
    <row r="3" spans="1:78" ht="13.5">
      <c r="A3" s="48"/>
      <c r="B3" s="30"/>
      <c r="C3" s="30"/>
      <c r="D3" s="30"/>
      <c r="E3" s="30"/>
      <c r="F3" s="31"/>
      <c r="G3" s="12"/>
      <c r="H3" s="30"/>
      <c r="I3" s="31"/>
      <c r="J3" s="30"/>
      <c r="K3" s="31"/>
      <c r="L3" s="31"/>
      <c r="M3" s="30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2"/>
      <c r="BT3" s="32"/>
      <c r="BU3" s="32"/>
      <c r="BV3" s="32"/>
      <c r="BW3" s="32"/>
      <c r="BX3" s="32"/>
      <c r="BY3" s="32"/>
      <c r="BZ3" s="32"/>
    </row>
    <row r="4" spans="1:78" ht="12.75">
      <c r="A4" s="45"/>
      <c r="B4" s="30"/>
      <c r="C4" s="30"/>
      <c r="D4" s="30"/>
      <c r="E4" s="30"/>
      <c r="F4" s="31"/>
      <c r="G4" s="12"/>
      <c r="H4" s="30"/>
      <c r="I4" s="31"/>
      <c r="J4" s="30"/>
      <c r="K4" s="31"/>
      <c r="L4" s="31"/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0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2"/>
      <c r="BT4" s="32"/>
      <c r="BU4" s="32"/>
      <c r="BV4" s="32"/>
      <c r="BW4" s="32"/>
      <c r="BX4" s="32"/>
      <c r="BY4" s="32"/>
      <c r="BZ4" s="32"/>
    </row>
    <row r="5" spans="1:78" s="71" customFormat="1" ht="18.75">
      <c r="A5" s="55"/>
      <c r="B5" s="56"/>
      <c r="C5" s="59"/>
      <c r="D5" s="57"/>
      <c r="E5" s="57"/>
      <c r="F5" s="58"/>
      <c r="G5" s="60"/>
      <c r="H5" s="59"/>
      <c r="I5" s="63"/>
      <c r="J5" s="59"/>
      <c r="K5" s="64"/>
      <c r="L5" s="62"/>
      <c r="M5" s="61"/>
      <c r="N5" s="63"/>
      <c r="O5" s="57"/>
      <c r="P5" s="65"/>
      <c r="Q5" s="66"/>
      <c r="R5" s="57"/>
      <c r="S5" s="57"/>
      <c r="T5" s="66"/>
      <c r="U5" s="66"/>
      <c r="V5" s="66"/>
      <c r="W5" s="66"/>
      <c r="X5" s="66"/>
      <c r="Y5" s="67"/>
      <c r="Z5" s="58"/>
      <c r="AA5" s="57"/>
      <c r="AB5" s="66"/>
      <c r="AC5" s="68"/>
      <c r="AD5" s="57"/>
      <c r="AE5" s="57"/>
      <c r="AF5" s="66"/>
      <c r="AG5" s="69"/>
      <c r="AH5" s="68"/>
      <c r="AI5" s="5"/>
      <c r="AJ5" s="57"/>
      <c r="AK5" s="57"/>
      <c r="AL5" s="70"/>
      <c r="AM5" s="57"/>
      <c r="AN5" s="66"/>
      <c r="AO5" s="66"/>
      <c r="AP5" s="5"/>
      <c r="AQ5" s="66"/>
      <c r="AR5" s="57"/>
      <c r="AS5" s="5"/>
      <c r="AT5" s="69"/>
      <c r="AU5" s="66"/>
      <c r="AV5" s="66"/>
      <c r="AW5" s="66"/>
      <c r="AX5" s="65"/>
      <c r="AY5" s="57"/>
      <c r="AZ5" s="58"/>
      <c r="BA5" s="58"/>
      <c r="BB5" s="57"/>
      <c r="BC5" s="57"/>
      <c r="BD5" s="57"/>
      <c r="BE5" s="57"/>
      <c r="BF5" s="66"/>
      <c r="BG5" s="66"/>
      <c r="BH5" s="57"/>
      <c r="BI5" s="57"/>
      <c r="BJ5" s="57"/>
      <c r="BK5" s="63"/>
      <c r="BL5" s="58"/>
      <c r="BM5" s="58"/>
      <c r="BN5" s="57"/>
      <c r="BO5" s="65"/>
      <c r="BP5" s="65"/>
      <c r="BS5" s="73"/>
      <c r="BT5" s="73"/>
      <c r="BU5" s="73"/>
      <c r="BV5" s="73"/>
      <c r="BW5" s="73"/>
      <c r="BX5" s="73"/>
      <c r="BY5" s="73"/>
      <c r="BZ5" s="73"/>
    </row>
    <row r="6" spans="1:78" ht="12.75">
      <c r="A6" s="45"/>
      <c r="B6" s="35"/>
      <c r="C6" s="35"/>
      <c r="D6" s="30"/>
      <c r="E6" s="30"/>
      <c r="F6" s="34"/>
      <c r="G6" s="12"/>
      <c r="H6" s="35"/>
      <c r="I6" s="34"/>
      <c r="J6" s="35"/>
      <c r="K6" s="34"/>
      <c r="L6" s="31"/>
      <c r="M6" s="30"/>
      <c r="N6" s="31"/>
      <c r="O6" s="31"/>
      <c r="P6" s="34"/>
      <c r="Q6" s="31"/>
      <c r="R6" s="34"/>
      <c r="S6" s="34"/>
      <c r="T6" s="34"/>
      <c r="U6" s="34"/>
      <c r="V6" s="31"/>
      <c r="W6" s="31"/>
      <c r="X6" s="34"/>
      <c r="Y6" s="34"/>
      <c r="Z6" s="34"/>
      <c r="AA6" s="30"/>
      <c r="AB6" s="34"/>
      <c r="AC6" s="34"/>
      <c r="AD6" s="31"/>
      <c r="AE6" s="31"/>
      <c r="AF6" s="34"/>
      <c r="AG6" s="34"/>
      <c r="AH6" s="34"/>
      <c r="AI6" s="34"/>
      <c r="AJ6" s="34"/>
      <c r="AK6" s="31"/>
      <c r="AL6" s="34"/>
      <c r="AM6" s="31"/>
      <c r="AN6" s="31"/>
      <c r="AO6" s="34"/>
      <c r="AP6" s="34"/>
      <c r="AQ6" s="31"/>
      <c r="AR6" s="34"/>
      <c r="AS6" s="34"/>
      <c r="AT6" s="34"/>
      <c r="AU6" s="34"/>
      <c r="AV6" s="31"/>
      <c r="AW6" s="34"/>
      <c r="AX6" s="34"/>
      <c r="AY6" s="34"/>
      <c r="AZ6" s="34"/>
      <c r="BA6" s="34"/>
      <c r="BB6" s="31"/>
      <c r="BC6" s="31"/>
      <c r="BD6" s="34"/>
      <c r="BE6" s="34"/>
      <c r="BF6" s="34"/>
      <c r="BG6" s="34"/>
      <c r="BH6" s="31"/>
      <c r="BI6" s="34"/>
      <c r="BJ6" s="31"/>
      <c r="BK6" s="34"/>
      <c r="BL6" s="34"/>
      <c r="BM6" s="37"/>
      <c r="BN6" s="34"/>
      <c r="BO6" s="34"/>
      <c r="BP6" s="34"/>
      <c r="BQ6" s="34"/>
      <c r="BR6" s="34"/>
      <c r="BS6" s="31"/>
      <c r="BT6" s="31"/>
      <c r="BU6" s="31"/>
      <c r="BV6" s="31"/>
      <c r="BW6" s="31"/>
      <c r="BX6" s="31"/>
      <c r="BY6" s="31"/>
      <c r="BZ6" s="31"/>
    </row>
    <row r="7" spans="1:78" ht="12.75">
      <c r="A7" s="45"/>
      <c r="B7" s="30"/>
      <c r="C7" s="30"/>
      <c r="D7" s="30"/>
      <c r="E7" s="30"/>
      <c r="F7" s="31"/>
      <c r="G7" s="12"/>
      <c r="H7" s="30"/>
      <c r="I7" s="31"/>
      <c r="J7" s="30"/>
      <c r="K7" s="31"/>
      <c r="L7" s="31"/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0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4"/>
      <c r="BT7" s="34"/>
      <c r="BU7" s="34"/>
      <c r="BV7" s="34"/>
      <c r="BW7" s="34"/>
      <c r="BX7" s="34"/>
      <c r="BY7" s="34"/>
      <c r="BZ7" s="34"/>
    </row>
    <row r="8" spans="1:78" ht="12.75">
      <c r="A8" s="45"/>
      <c r="B8" s="30"/>
      <c r="C8" s="30"/>
      <c r="D8" s="30"/>
      <c r="E8" s="30"/>
      <c r="F8" s="31"/>
      <c r="G8" s="12"/>
      <c r="H8" s="30"/>
      <c r="I8" s="31"/>
      <c r="J8" s="30"/>
      <c r="K8" s="31"/>
      <c r="L8" s="31"/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0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4"/>
      <c r="BT8" s="34"/>
      <c r="BU8" s="34"/>
      <c r="BV8" s="34"/>
      <c r="BW8" s="34"/>
      <c r="BX8" s="34"/>
      <c r="BY8" s="34"/>
      <c r="BZ8" s="34"/>
    </row>
    <row r="9" spans="1:78" ht="12.75">
      <c r="A9" s="45"/>
      <c r="B9" s="30"/>
      <c r="C9" s="30"/>
      <c r="D9" s="30"/>
      <c r="E9" s="30"/>
      <c r="F9" s="31"/>
      <c r="G9" s="12"/>
      <c r="H9" s="30"/>
      <c r="I9" s="31"/>
      <c r="J9" s="30"/>
      <c r="K9" s="31"/>
      <c r="L9" s="31"/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0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4"/>
      <c r="BT9" s="34"/>
      <c r="BU9" s="34"/>
      <c r="BV9" s="34"/>
      <c r="BW9" s="34"/>
      <c r="BX9" s="34"/>
      <c r="BY9" s="34"/>
      <c r="BZ9" s="34"/>
    </row>
    <row r="10" spans="1:78" ht="12.75">
      <c r="A10" s="45"/>
      <c r="B10" s="30"/>
      <c r="C10" s="30"/>
      <c r="D10" s="30"/>
      <c r="E10" s="30"/>
      <c r="F10" s="31"/>
      <c r="G10" s="12"/>
      <c r="H10" s="30"/>
      <c r="I10" s="31"/>
      <c r="J10" s="30"/>
      <c r="K10" s="31"/>
      <c r="L10" s="31"/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0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4"/>
      <c r="BT10" s="34"/>
      <c r="BU10" s="34"/>
      <c r="BV10" s="34"/>
      <c r="BW10" s="34"/>
      <c r="BX10" s="34"/>
      <c r="BY10" s="34"/>
      <c r="BZ10" s="34"/>
    </row>
    <row r="11" spans="1:78" ht="12.75">
      <c r="A11" s="45"/>
      <c r="B11" s="75"/>
      <c r="C11" s="75"/>
      <c r="D11" s="75"/>
      <c r="E11" s="75"/>
      <c r="F11" s="31"/>
      <c r="G11" s="12"/>
      <c r="H11" s="75"/>
      <c r="I11" s="31"/>
      <c r="J11" s="75"/>
      <c r="K11" s="31"/>
      <c r="L11" s="31"/>
      <c r="M11" s="75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5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4"/>
      <c r="BT11" s="34"/>
      <c r="BU11" s="34"/>
      <c r="BV11" s="34"/>
      <c r="BW11" s="34"/>
      <c r="BX11" s="34"/>
      <c r="BY11" s="34"/>
      <c r="BZ11" s="34"/>
    </row>
    <row r="12" spans="1:78" s="46" customFormat="1" ht="12.75">
      <c r="A12" s="45"/>
      <c r="B12" s="131" t="s">
        <v>0</v>
      </c>
      <c r="C12" s="131" t="s">
        <v>0</v>
      </c>
      <c r="D12" s="131" t="s">
        <v>0</v>
      </c>
      <c r="E12" s="131" t="s">
        <v>0</v>
      </c>
      <c r="F12" s="132" t="s">
        <v>1</v>
      </c>
      <c r="G12" s="131" t="s">
        <v>0</v>
      </c>
      <c r="H12" s="131" t="s">
        <v>2</v>
      </c>
      <c r="I12" s="131" t="s">
        <v>0</v>
      </c>
      <c r="J12" s="131" t="s">
        <v>3</v>
      </c>
      <c r="K12" s="132" t="s">
        <v>0</v>
      </c>
      <c r="L12" s="132" t="s">
        <v>0</v>
      </c>
      <c r="M12" s="131" t="s">
        <v>0</v>
      </c>
      <c r="N12" s="132" t="s">
        <v>0</v>
      </c>
      <c r="O12" s="132" t="s">
        <v>0</v>
      </c>
      <c r="P12" s="132" t="s">
        <v>0</v>
      </c>
      <c r="Q12" s="132" t="s">
        <v>0</v>
      </c>
      <c r="R12" s="132" t="s">
        <v>0</v>
      </c>
      <c r="S12" s="132" t="s">
        <v>0</v>
      </c>
      <c r="T12" s="132" t="s">
        <v>5</v>
      </c>
      <c r="U12" s="131" t="s">
        <v>0</v>
      </c>
      <c r="V12" s="132" t="s">
        <v>516</v>
      </c>
      <c r="W12" s="132" t="s">
        <v>0</v>
      </c>
      <c r="X12" s="132" t="s">
        <v>7</v>
      </c>
      <c r="Y12" s="131" t="s">
        <v>0</v>
      </c>
      <c r="Z12" s="132" t="s">
        <v>0</v>
      </c>
      <c r="AA12" s="131" t="s">
        <v>0</v>
      </c>
      <c r="AB12" s="132" t="s">
        <v>0</v>
      </c>
      <c r="AC12" s="132" t="s">
        <v>0</v>
      </c>
      <c r="AD12" s="132" t="s">
        <v>0</v>
      </c>
      <c r="AE12" s="132" t="s">
        <v>0</v>
      </c>
      <c r="AF12" s="132" t="s">
        <v>8</v>
      </c>
      <c r="AG12" s="132" t="s">
        <v>4</v>
      </c>
      <c r="AH12" s="132" t="s">
        <v>6</v>
      </c>
      <c r="AI12" s="132" t="s">
        <v>6</v>
      </c>
      <c r="AJ12" s="132" t="s">
        <v>0</v>
      </c>
      <c r="AK12" s="132" t="s">
        <v>0</v>
      </c>
      <c r="AL12" s="132" t="s">
        <v>0</v>
      </c>
      <c r="AM12" s="132" t="s">
        <v>4</v>
      </c>
      <c r="AN12" s="132" t="s">
        <v>0</v>
      </c>
      <c r="AO12" s="132" t="s">
        <v>0</v>
      </c>
      <c r="AP12" s="132" t="s">
        <v>0</v>
      </c>
      <c r="AQ12" s="132" t="s">
        <v>4</v>
      </c>
      <c r="AR12" s="132" t="s">
        <v>0</v>
      </c>
      <c r="AS12" s="132" t="s">
        <v>0</v>
      </c>
      <c r="AT12" s="132" t="s">
        <v>0</v>
      </c>
      <c r="AU12" s="132" t="s">
        <v>0</v>
      </c>
      <c r="AV12" s="132" t="s">
        <v>0</v>
      </c>
      <c r="AW12" s="132" t="s">
        <v>4</v>
      </c>
      <c r="AX12" s="132" t="s">
        <v>4</v>
      </c>
      <c r="AY12" s="132" t="s">
        <v>61</v>
      </c>
      <c r="AZ12" s="132" t="s">
        <v>0</v>
      </c>
      <c r="BA12" s="132" t="s">
        <v>0</v>
      </c>
      <c r="BB12" s="132" t="s">
        <v>6</v>
      </c>
      <c r="BC12" s="132" t="s">
        <v>4</v>
      </c>
      <c r="BD12" s="132" t="s">
        <v>0</v>
      </c>
      <c r="BE12" s="132" t="s">
        <v>4</v>
      </c>
      <c r="BF12" s="132" t="s">
        <v>0</v>
      </c>
      <c r="BG12" s="132" t="s">
        <v>0</v>
      </c>
      <c r="BH12" s="132" t="s">
        <v>0</v>
      </c>
      <c r="BI12" s="132" t="s">
        <v>9</v>
      </c>
      <c r="BJ12" s="132" t="s">
        <v>0</v>
      </c>
      <c r="BK12" s="132" t="s">
        <v>558</v>
      </c>
      <c r="BL12" s="132" t="s">
        <v>0</v>
      </c>
      <c r="BM12" s="132" t="s">
        <v>0</v>
      </c>
      <c r="BN12" s="132" t="s">
        <v>0</v>
      </c>
      <c r="BO12" s="132" t="s">
        <v>0</v>
      </c>
      <c r="BP12" s="132"/>
      <c r="BQ12" s="132"/>
      <c r="BR12" s="132"/>
      <c r="BS12" s="132" t="s">
        <v>10</v>
      </c>
      <c r="BT12" s="138" t="s">
        <v>545</v>
      </c>
      <c r="BU12" s="226" t="s">
        <v>542</v>
      </c>
      <c r="BV12" s="226"/>
      <c r="BW12" s="132"/>
      <c r="BX12" s="132"/>
      <c r="BY12" s="132"/>
      <c r="BZ12" s="132" t="s">
        <v>11</v>
      </c>
    </row>
    <row r="13" spans="1:78" s="46" customFormat="1" ht="12.75">
      <c r="A13" s="47" t="s">
        <v>12</v>
      </c>
      <c r="B13" s="131" t="s">
        <v>13</v>
      </c>
      <c r="C13" s="131" t="s">
        <v>17</v>
      </c>
      <c r="D13" s="131" t="s">
        <v>507</v>
      </c>
      <c r="E13" s="131" t="s">
        <v>14</v>
      </c>
      <c r="F13" s="132" t="s">
        <v>16</v>
      </c>
      <c r="G13" s="131" t="s">
        <v>18</v>
      </c>
      <c r="H13" s="131" t="s">
        <v>16</v>
      </c>
      <c r="I13" s="131" t="s">
        <v>551</v>
      </c>
      <c r="J13" s="131" t="s">
        <v>16</v>
      </c>
      <c r="K13" s="132" t="s">
        <v>427</v>
      </c>
      <c r="L13" s="132" t="s">
        <v>20</v>
      </c>
      <c r="M13" s="131" t="s">
        <v>19</v>
      </c>
      <c r="N13" s="132" t="s">
        <v>21</v>
      </c>
      <c r="O13" s="132" t="s">
        <v>23</v>
      </c>
      <c r="P13" s="132" t="s">
        <v>22</v>
      </c>
      <c r="Q13" s="132" t="s">
        <v>24</v>
      </c>
      <c r="R13" s="132" t="s">
        <v>565</v>
      </c>
      <c r="S13" s="132" t="s">
        <v>25</v>
      </c>
      <c r="T13" s="132" t="s">
        <v>16</v>
      </c>
      <c r="U13" s="131" t="s">
        <v>15</v>
      </c>
      <c r="V13" s="132" t="s">
        <v>53</v>
      </c>
      <c r="W13" s="132" t="s">
        <v>26</v>
      </c>
      <c r="X13" s="132" t="s">
        <v>31</v>
      </c>
      <c r="Y13" s="131" t="s">
        <v>553</v>
      </c>
      <c r="Z13" s="132" t="s">
        <v>83</v>
      </c>
      <c r="AA13" s="131" t="s">
        <v>507</v>
      </c>
      <c r="AB13" s="132" t="s">
        <v>15</v>
      </c>
      <c r="AC13" s="132" t="s">
        <v>27</v>
      </c>
      <c r="AD13" s="132" t="s">
        <v>28</v>
      </c>
      <c r="AE13" s="132" t="s">
        <v>29</v>
      </c>
      <c r="AF13" s="132" t="s">
        <v>16</v>
      </c>
      <c r="AG13" s="132" t="s">
        <v>15</v>
      </c>
      <c r="AH13" s="132" t="s">
        <v>30</v>
      </c>
      <c r="AI13" s="132" t="s">
        <v>30</v>
      </c>
      <c r="AJ13" s="132" t="s">
        <v>32</v>
      </c>
      <c r="AK13" s="132" t="s">
        <v>33</v>
      </c>
      <c r="AL13" s="132" t="s">
        <v>34</v>
      </c>
      <c r="AM13" s="132" t="s">
        <v>35</v>
      </c>
      <c r="AN13" s="132" t="s">
        <v>36</v>
      </c>
      <c r="AO13" s="132" t="s">
        <v>38</v>
      </c>
      <c r="AP13" s="132" t="s">
        <v>37</v>
      </c>
      <c r="AQ13" s="132" t="s">
        <v>39</v>
      </c>
      <c r="AR13" s="132" t="s">
        <v>42</v>
      </c>
      <c r="AS13" s="132" t="s">
        <v>40</v>
      </c>
      <c r="AT13" s="132" t="s">
        <v>41</v>
      </c>
      <c r="AU13" s="132" t="s">
        <v>43</v>
      </c>
      <c r="AV13" s="132" t="s">
        <v>45</v>
      </c>
      <c r="AW13" s="132" t="s">
        <v>44</v>
      </c>
      <c r="AX13" s="132" t="s">
        <v>46</v>
      </c>
      <c r="AY13" s="132" t="s">
        <v>16</v>
      </c>
      <c r="AZ13" s="132" t="s">
        <v>15</v>
      </c>
      <c r="BA13" s="132" t="s">
        <v>47</v>
      </c>
      <c r="BB13" s="132" t="s">
        <v>30</v>
      </c>
      <c r="BC13" s="132" t="s">
        <v>496</v>
      </c>
      <c r="BD13" s="132" t="s">
        <v>48</v>
      </c>
      <c r="BE13" s="132" t="s">
        <v>50</v>
      </c>
      <c r="BF13" s="132" t="s">
        <v>49</v>
      </c>
      <c r="BG13" s="132" t="s">
        <v>51</v>
      </c>
      <c r="BH13" s="132" t="s">
        <v>52</v>
      </c>
      <c r="BI13" s="132" t="s">
        <v>53</v>
      </c>
      <c r="BJ13" s="132" t="s">
        <v>54</v>
      </c>
      <c r="BK13" s="132" t="s">
        <v>15</v>
      </c>
      <c r="BL13" s="132" t="s">
        <v>55</v>
      </c>
      <c r="BM13" s="132" t="s">
        <v>56</v>
      </c>
      <c r="BN13" s="132" t="s">
        <v>57</v>
      </c>
      <c r="BO13" s="132" t="s">
        <v>58</v>
      </c>
      <c r="BP13" s="132"/>
      <c r="BQ13" s="132"/>
      <c r="BR13" s="132"/>
      <c r="BS13" s="132" t="s">
        <v>59</v>
      </c>
      <c r="BT13" s="138" t="s">
        <v>546</v>
      </c>
      <c r="BU13" s="226"/>
      <c r="BV13" s="226"/>
      <c r="BW13" s="132"/>
      <c r="BX13" s="132" t="s">
        <v>61</v>
      </c>
      <c r="BY13" s="132"/>
      <c r="BZ13" s="132" t="s">
        <v>59</v>
      </c>
    </row>
    <row r="14" spans="1:78" s="46" customFormat="1" ht="12.75">
      <c r="A14" s="45"/>
      <c r="B14" s="131" t="s">
        <v>62</v>
      </c>
      <c r="C14" s="131"/>
      <c r="D14" s="131" t="s">
        <v>508</v>
      </c>
      <c r="E14" s="131"/>
      <c r="F14" s="132" t="s">
        <v>30</v>
      </c>
      <c r="G14" s="131" t="s">
        <v>64</v>
      </c>
      <c r="H14" s="131" t="s">
        <v>63</v>
      </c>
      <c r="I14" s="131" t="s">
        <v>77</v>
      </c>
      <c r="J14" s="131" t="s">
        <v>30</v>
      </c>
      <c r="K14" s="132"/>
      <c r="L14" s="132" t="s">
        <v>64</v>
      </c>
      <c r="M14" s="131"/>
      <c r="N14" s="132" t="s">
        <v>65</v>
      </c>
      <c r="O14" s="132"/>
      <c r="P14" s="132" t="s">
        <v>66</v>
      </c>
      <c r="Q14" s="132" t="s">
        <v>500</v>
      </c>
      <c r="R14" s="132" t="s">
        <v>564</v>
      </c>
      <c r="S14" s="132" t="s">
        <v>64</v>
      </c>
      <c r="T14" s="132" t="s">
        <v>30</v>
      </c>
      <c r="U14" s="131" t="s">
        <v>566</v>
      </c>
      <c r="V14" s="132" t="s">
        <v>517</v>
      </c>
      <c r="W14" s="132" t="s">
        <v>346</v>
      </c>
      <c r="X14" s="132" t="s">
        <v>73</v>
      </c>
      <c r="Y14" s="131" t="s">
        <v>554</v>
      </c>
      <c r="Z14" s="132"/>
      <c r="AA14" s="131" t="s">
        <v>509</v>
      </c>
      <c r="AB14" s="132" t="s">
        <v>69</v>
      </c>
      <c r="AC14" s="132" t="s">
        <v>68</v>
      </c>
      <c r="AD14" s="132"/>
      <c r="AE14" s="132" t="s">
        <v>70</v>
      </c>
      <c r="AF14" s="132" t="s">
        <v>85</v>
      </c>
      <c r="AG14" s="132" t="s">
        <v>71</v>
      </c>
      <c r="AH14" s="132" t="s">
        <v>72</v>
      </c>
      <c r="AI14" s="132" t="s">
        <v>90</v>
      </c>
      <c r="AJ14" s="132" t="s">
        <v>74</v>
      </c>
      <c r="AK14" s="132" t="s">
        <v>75</v>
      </c>
      <c r="AL14" s="132"/>
      <c r="AM14" s="132" t="s">
        <v>76</v>
      </c>
      <c r="AN14" s="132" t="s">
        <v>77</v>
      </c>
      <c r="AO14" s="132" t="s">
        <v>79</v>
      </c>
      <c r="AP14" s="132" t="s">
        <v>78</v>
      </c>
      <c r="AQ14" s="132" t="s">
        <v>80</v>
      </c>
      <c r="AR14" s="132" t="s">
        <v>67</v>
      </c>
      <c r="AS14" s="132" t="s">
        <v>81</v>
      </c>
      <c r="AT14" s="132" t="s">
        <v>76</v>
      </c>
      <c r="AU14" s="132" t="s">
        <v>82</v>
      </c>
      <c r="AV14" s="132" t="s">
        <v>80</v>
      </c>
      <c r="AW14" s="132" t="s">
        <v>83</v>
      </c>
      <c r="AX14" s="132" t="s">
        <v>84</v>
      </c>
      <c r="AY14" s="132" t="s">
        <v>30</v>
      </c>
      <c r="AZ14" s="132" t="s">
        <v>86</v>
      </c>
      <c r="BA14" s="132" t="s">
        <v>88</v>
      </c>
      <c r="BB14" s="132" t="s">
        <v>87</v>
      </c>
      <c r="BC14" s="132" t="s">
        <v>89</v>
      </c>
      <c r="BD14" s="132" t="s">
        <v>91</v>
      </c>
      <c r="BE14" s="132" t="s">
        <v>93</v>
      </c>
      <c r="BF14" s="132" t="s">
        <v>92</v>
      </c>
      <c r="BG14" s="132" t="s">
        <v>94</v>
      </c>
      <c r="BH14" s="132" t="s">
        <v>95</v>
      </c>
      <c r="BI14" s="132" t="s">
        <v>96</v>
      </c>
      <c r="BJ14" s="132" t="s">
        <v>97</v>
      </c>
      <c r="BK14" s="132" t="s">
        <v>555</v>
      </c>
      <c r="BL14" s="132" t="s">
        <v>98</v>
      </c>
      <c r="BM14" s="132" t="s">
        <v>99</v>
      </c>
      <c r="BN14" s="132" t="s">
        <v>62</v>
      </c>
      <c r="BO14" s="132"/>
      <c r="BP14" s="132"/>
      <c r="BQ14" s="132"/>
      <c r="BR14" s="132"/>
      <c r="BS14" s="132" t="s">
        <v>100</v>
      </c>
      <c r="BT14" s="138" t="s">
        <v>541</v>
      </c>
      <c r="BU14" s="138" t="s">
        <v>543</v>
      </c>
      <c r="BV14" s="138" t="s">
        <v>544</v>
      </c>
      <c r="BW14" s="132" t="s">
        <v>101</v>
      </c>
      <c r="BX14" s="132" t="s">
        <v>60</v>
      </c>
      <c r="BY14" s="132"/>
      <c r="BZ14" s="132" t="s">
        <v>100</v>
      </c>
    </row>
    <row r="15" spans="1:78" s="113" customFormat="1" ht="12.75" customHeight="1">
      <c r="A15" s="126"/>
      <c r="B15" s="133" t="s">
        <v>102</v>
      </c>
      <c r="C15" s="133" t="s">
        <v>103</v>
      </c>
      <c r="D15" s="133" t="s">
        <v>104</v>
      </c>
      <c r="E15" s="133" t="s">
        <v>105</v>
      </c>
      <c r="F15" s="133" t="s">
        <v>106</v>
      </c>
      <c r="G15" s="133" t="s">
        <v>107</v>
      </c>
      <c r="H15" s="133" t="s">
        <v>108</v>
      </c>
      <c r="I15" s="133" t="s">
        <v>109</v>
      </c>
      <c r="J15" s="133" t="s">
        <v>335</v>
      </c>
      <c r="K15" s="133" t="s">
        <v>336</v>
      </c>
      <c r="L15" s="133" t="s">
        <v>337</v>
      </c>
      <c r="M15" s="133" t="s">
        <v>110</v>
      </c>
      <c r="N15" s="133" t="s">
        <v>111</v>
      </c>
      <c r="O15" s="133" t="s">
        <v>112</v>
      </c>
      <c r="P15" s="133" t="s">
        <v>113</v>
      </c>
      <c r="Q15" s="133" t="s">
        <v>114</v>
      </c>
      <c r="R15" s="133" t="s">
        <v>115</v>
      </c>
      <c r="S15" s="133" t="s">
        <v>116</v>
      </c>
      <c r="T15" s="133" t="s">
        <v>117</v>
      </c>
      <c r="U15" s="133" t="s">
        <v>118</v>
      </c>
      <c r="V15" s="133" t="s">
        <v>119</v>
      </c>
      <c r="W15" s="133" t="s">
        <v>120</v>
      </c>
      <c r="X15" s="133" t="s">
        <v>121</v>
      </c>
      <c r="Y15" s="133" t="s">
        <v>122</v>
      </c>
      <c r="Z15" s="133" t="s">
        <v>123</v>
      </c>
      <c r="AA15" s="133" t="s">
        <v>124</v>
      </c>
      <c r="AB15" s="133" t="s">
        <v>125</v>
      </c>
      <c r="AC15" s="133" t="s">
        <v>126</v>
      </c>
      <c r="AD15" s="133" t="s">
        <v>127</v>
      </c>
      <c r="AE15" s="133" t="s">
        <v>128</v>
      </c>
      <c r="AF15" s="133" t="s">
        <v>129</v>
      </c>
      <c r="AG15" s="133" t="s">
        <v>130</v>
      </c>
      <c r="AH15" s="133" t="s">
        <v>131</v>
      </c>
      <c r="AI15" s="133" t="s">
        <v>132</v>
      </c>
      <c r="AJ15" s="133" t="s">
        <v>133</v>
      </c>
      <c r="AK15" s="133" t="s">
        <v>134</v>
      </c>
      <c r="AL15" s="133" t="s">
        <v>135</v>
      </c>
      <c r="AM15" s="133" t="s">
        <v>136</v>
      </c>
      <c r="AN15" s="133" t="s">
        <v>137</v>
      </c>
      <c r="AO15" s="133" t="s">
        <v>138</v>
      </c>
      <c r="AP15" s="133" t="s">
        <v>139</v>
      </c>
      <c r="AQ15" s="133" t="s">
        <v>140</v>
      </c>
      <c r="AR15" s="133" t="s">
        <v>141</v>
      </c>
      <c r="AS15" s="133" t="s">
        <v>142</v>
      </c>
      <c r="AT15" s="133" t="s">
        <v>143</v>
      </c>
      <c r="AU15" s="133" t="s">
        <v>144</v>
      </c>
      <c r="AV15" s="133" t="s">
        <v>145</v>
      </c>
      <c r="AW15" s="133" t="s">
        <v>146</v>
      </c>
      <c r="AX15" s="133" t="s">
        <v>147</v>
      </c>
      <c r="AY15" s="133" t="s">
        <v>148</v>
      </c>
      <c r="AZ15" s="133" t="s">
        <v>149</v>
      </c>
      <c r="BA15" s="133" t="s">
        <v>150</v>
      </c>
      <c r="BB15" s="133" t="s">
        <v>348</v>
      </c>
      <c r="BC15" s="133" t="s">
        <v>151</v>
      </c>
      <c r="BD15" s="133" t="s">
        <v>152</v>
      </c>
      <c r="BE15" s="133" t="s">
        <v>153</v>
      </c>
      <c r="BF15" s="133" t="s">
        <v>154</v>
      </c>
      <c r="BG15" s="133" t="s">
        <v>155</v>
      </c>
      <c r="BH15" s="133" t="s">
        <v>349</v>
      </c>
      <c r="BI15" s="133" t="s">
        <v>156</v>
      </c>
      <c r="BJ15" s="133" t="s">
        <v>157</v>
      </c>
      <c r="BK15" s="133" t="s">
        <v>158</v>
      </c>
      <c r="BL15" s="133" t="s">
        <v>159</v>
      </c>
      <c r="BM15" s="133" t="s">
        <v>160</v>
      </c>
      <c r="BN15" s="133" t="s">
        <v>161</v>
      </c>
      <c r="BO15" s="133" t="s">
        <v>162</v>
      </c>
      <c r="BP15" s="133"/>
      <c r="BQ15" s="133"/>
      <c r="BR15" s="133"/>
      <c r="BS15" s="134"/>
      <c r="BT15" s="134" t="s">
        <v>589</v>
      </c>
      <c r="BU15" s="134" t="s">
        <v>494</v>
      </c>
      <c r="BV15" s="134" t="s">
        <v>590</v>
      </c>
      <c r="BW15" s="134" t="s">
        <v>586</v>
      </c>
      <c r="BX15" s="134" t="s">
        <v>585</v>
      </c>
      <c r="BY15" s="134"/>
      <c r="BZ15" s="134" t="s">
        <v>513</v>
      </c>
    </row>
    <row r="16" spans="1:78" ht="12.75">
      <c r="A16" s="49" t="s">
        <v>399</v>
      </c>
      <c r="B16" s="30"/>
      <c r="C16" s="30"/>
      <c r="D16" s="30"/>
      <c r="E16" s="30"/>
      <c r="F16" s="31"/>
      <c r="G16" s="12"/>
      <c r="H16" s="30"/>
      <c r="I16" s="31"/>
      <c r="J16" s="30"/>
      <c r="K16" s="31"/>
      <c r="L16" s="31"/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0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2"/>
      <c r="BT16" s="32"/>
      <c r="BU16" s="32"/>
      <c r="BV16" s="32"/>
      <c r="BW16" s="32"/>
      <c r="BX16" s="32"/>
      <c r="BY16" s="32"/>
      <c r="BZ16" s="32"/>
    </row>
    <row r="17" spans="1:78" ht="12.75">
      <c r="A17" s="47" t="s">
        <v>400</v>
      </c>
      <c r="B17" s="10">
        <v>3734358.385</v>
      </c>
      <c r="C17" s="10">
        <v>1906600.084</v>
      </c>
      <c r="D17" s="10">
        <v>4736247.008</v>
      </c>
      <c r="E17" s="10">
        <v>1571914.538</v>
      </c>
      <c r="F17" s="10">
        <v>1657278.263</v>
      </c>
      <c r="G17" s="10">
        <v>799504.371</v>
      </c>
      <c r="H17" s="10">
        <v>509566.703</v>
      </c>
      <c r="I17" s="10">
        <v>495329.839</v>
      </c>
      <c r="J17" s="10">
        <v>595236.885</v>
      </c>
      <c r="K17" s="10">
        <v>814306.913</v>
      </c>
      <c r="L17" s="10">
        <v>680644.623</v>
      </c>
      <c r="M17" s="10">
        <v>323952.011</v>
      </c>
      <c r="N17" s="10">
        <v>439112.487</v>
      </c>
      <c r="O17" s="10">
        <v>596120.005</v>
      </c>
      <c r="P17" s="10">
        <v>487969.236</v>
      </c>
      <c r="Q17" s="10">
        <v>385066.374</v>
      </c>
      <c r="R17" s="10">
        <v>611529.088</v>
      </c>
      <c r="S17" s="10">
        <v>337219.611</v>
      </c>
      <c r="T17" s="10">
        <v>707592.397</v>
      </c>
      <c r="U17" s="10">
        <v>380768.679</v>
      </c>
      <c r="V17" s="10">
        <v>256396.094</v>
      </c>
      <c r="W17" s="10">
        <v>312533.542</v>
      </c>
      <c r="X17" s="10">
        <v>820067.642</v>
      </c>
      <c r="Y17" s="10">
        <v>171198.317</v>
      </c>
      <c r="Z17" s="10">
        <v>285448.103</v>
      </c>
      <c r="AA17" s="10">
        <v>2638399.556</v>
      </c>
      <c r="AB17" s="10">
        <v>907758.629</v>
      </c>
      <c r="AC17" s="10">
        <v>173558.33</v>
      </c>
      <c r="AD17" s="10">
        <v>108152.861</v>
      </c>
      <c r="AE17" s="10">
        <v>19081.045</v>
      </c>
      <c r="AF17" s="10">
        <v>614699.458</v>
      </c>
      <c r="AG17" s="10">
        <v>66980.299</v>
      </c>
      <c r="AH17" s="10">
        <v>104152.664</v>
      </c>
      <c r="AI17" s="10">
        <v>945453</v>
      </c>
      <c r="AJ17" s="10">
        <v>87502.283</v>
      </c>
      <c r="AK17" s="10">
        <v>60745.929</v>
      </c>
      <c r="AL17" s="10">
        <v>86481.489</v>
      </c>
      <c r="AM17" s="10">
        <v>75394.929</v>
      </c>
      <c r="AN17" s="10">
        <v>65883.266</v>
      </c>
      <c r="AO17" s="10">
        <v>66428.167</v>
      </c>
      <c r="AP17" s="10">
        <v>51881.75</v>
      </c>
      <c r="AQ17" s="10">
        <f>55116.584+21863.024</f>
        <v>76979.60800000001</v>
      </c>
      <c r="AR17" s="10">
        <v>34495.3</v>
      </c>
      <c r="AS17" s="10">
        <v>95035.619</v>
      </c>
      <c r="AT17" s="10">
        <v>44036.447</v>
      </c>
      <c r="AU17" s="10">
        <v>52523.698</v>
      </c>
      <c r="AV17" s="10">
        <v>25563.206</v>
      </c>
      <c r="AW17" s="10">
        <v>248.961</v>
      </c>
      <c r="AX17" s="10">
        <v>0</v>
      </c>
      <c r="AY17" s="10">
        <v>269930.111</v>
      </c>
      <c r="AZ17" s="10">
        <v>6323.72</v>
      </c>
      <c r="BA17" s="10">
        <v>0</v>
      </c>
      <c r="BB17" s="10">
        <v>0</v>
      </c>
      <c r="BC17" s="10">
        <v>34886.196</v>
      </c>
      <c r="BD17" s="10">
        <v>18973.834</v>
      </c>
      <c r="BE17" s="10">
        <v>60063.865</v>
      </c>
      <c r="BF17" s="10">
        <v>0</v>
      </c>
      <c r="BG17" s="10">
        <v>13826.674</v>
      </c>
      <c r="BH17" s="207">
        <v>5133.07</v>
      </c>
      <c r="BI17" s="10">
        <v>9119.001</v>
      </c>
      <c r="BJ17" s="10">
        <f>12088.84+11132.117</f>
        <v>23220.957000000002</v>
      </c>
      <c r="BK17" s="10">
        <v>27351.94</v>
      </c>
      <c r="BL17" s="10">
        <v>2000</v>
      </c>
      <c r="BM17" s="10">
        <v>0</v>
      </c>
      <c r="BN17" s="10">
        <v>110224.371</v>
      </c>
      <c r="BO17" s="10">
        <v>15201.277</v>
      </c>
      <c r="BP17" s="10"/>
      <c r="BQ17" s="10"/>
      <c r="BR17" s="10"/>
      <c r="BS17" s="114">
        <f>SUM(B17:BO17)</f>
        <v>30613652.708</v>
      </c>
      <c r="BT17" s="114">
        <f>SUM(D17+W17+AA17+AB17+AE17+AG17+AO17+AQ17+AS17+AV17+BC17+BD17+BE17+BG17+BJ17+BK17+BL17+BN17+BO17)</f>
        <v>9250755.793000005</v>
      </c>
      <c r="BU17" s="114">
        <f>SUM(C17+F17+G17+K17+L17+N17+P17+Q17+S17+Z17+AK17+AL17+AU17)</f>
        <v>7992901.180999998</v>
      </c>
      <c r="BV17" s="114">
        <f>SUM(B17+E17+H17+I17+J17+M17+O17+R17+U17+V17+Y17+AC17+AD17+AH17+AJ17+AM17+AN17+AP17+AW17+AX17+AZ17+BB17+BF17+BM17)</f>
        <v>9919469.307999998</v>
      </c>
      <c r="BW17" s="114">
        <f aca="true" t="shared" si="0" ref="BW17:BW28">SUM(BT17:BV17)</f>
        <v>27163126.282</v>
      </c>
      <c r="BX17" s="114">
        <f>SUM(T17+X17+AF17+AI17+AR17+AT17+AY17+BA17+BH17+BI17)</f>
        <v>3450526.426</v>
      </c>
      <c r="BY17" s="114"/>
      <c r="BZ17" s="114">
        <f aca="true" t="shared" si="1" ref="BZ17:BZ56">SUM(BW17:BX17)</f>
        <v>30613652.708</v>
      </c>
    </row>
    <row r="18" spans="1:78" ht="12.75">
      <c r="A18" s="47" t="s">
        <v>401</v>
      </c>
      <c r="B18" s="10">
        <v>2722169.045</v>
      </c>
      <c r="C18" s="10">
        <v>1108126.344</v>
      </c>
      <c r="D18" s="10">
        <v>1894635.166</v>
      </c>
      <c r="E18" s="10">
        <v>904379.638</v>
      </c>
      <c r="F18" s="10">
        <v>1694245.568</v>
      </c>
      <c r="G18" s="10">
        <v>511055.919</v>
      </c>
      <c r="H18" s="10">
        <v>613951.807</v>
      </c>
      <c r="I18" s="10">
        <v>717678.211</v>
      </c>
      <c r="J18" s="10">
        <v>747219.841</v>
      </c>
      <c r="K18" s="10">
        <v>427987.359</v>
      </c>
      <c r="L18" s="10">
        <v>405770.924</v>
      </c>
      <c r="M18" s="10">
        <v>358021.642</v>
      </c>
      <c r="N18" s="10">
        <v>494688.2</v>
      </c>
      <c r="O18" s="10">
        <v>341610.806</v>
      </c>
      <c r="P18" s="10">
        <v>203135.518</v>
      </c>
      <c r="Q18" s="10">
        <v>219302.254</v>
      </c>
      <c r="R18" s="10">
        <v>246184.193</v>
      </c>
      <c r="S18" s="10">
        <v>234539.804</v>
      </c>
      <c r="T18" s="10">
        <v>180379.481</v>
      </c>
      <c r="U18" s="10">
        <v>41179.293</v>
      </c>
      <c r="V18" s="10">
        <v>172844.376</v>
      </c>
      <c r="W18" s="10">
        <v>181190.383</v>
      </c>
      <c r="X18" s="10">
        <v>47506.371</v>
      </c>
      <c r="Y18" s="10">
        <v>48125.82</v>
      </c>
      <c r="Z18" s="10">
        <v>166960.179</v>
      </c>
      <c r="AA18" s="10">
        <v>59859.188</v>
      </c>
      <c r="AB18" s="10">
        <v>141239.506</v>
      </c>
      <c r="AC18" s="10">
        <v>100673.637</v>
      </c>
      <c r="AD18" s="10">
        <v>170737.859</v>
      </c>
      <c r="AE18" s="10">
        <v>4470.24</v>
      </c>
      <c r="AF18" s="10">
        <v>20235.148</v>
      </c>
      <c r="AG18" s="10">
        <v>36195.219</v>
      </c>
      <c r="AH18" s="10">
        <v>79167.267</v>
      </c>
      <c r="AI18" s="10">
        <v>3063</v>
      </c>
      <c r="AJ18" s="10">
        <v>63393.113</v>
      </c>
      <c r="AK18" s="10">
        <v>31628.46</v>
      </c>
      <c r="AL18" s="10">
        <v>96643.833</v>
      </c>
      <c r="AM18" s="10">
        <v>29993.499</v>
      </c>
      <c r="AN18" s="10">
        <v>42010.567</v>
      </c>
      <c r="AO18" s="10">
        <v>76352.258</v>
      </c>
      <c r="AP18" s="10">
        <v>47638.404</v>
      </c>
      <c r="AQ18" s="10">
        <f>50292.18+23.964</f>
        <v>50316.144</v>
      </c>
      <c r="AR18" s="10">
        <v>16680.461</v>
      </c>
      <c r="AS18" s="10">
        <v>19117.238</v>
      </c>
      <c r="AT18" s="10">
        <v>19519.321</v>
      </c>
      <c r="AU18" s="10">
        <v>36389.988</v>
      </c>
      <c r="AV18" s="10">
        <v>28985.803</v>
      </c>
      <c r="AW18" s="10">
        <v>8.88</v>
      </c>
      <c r="AX18" s="10">
        <v>25447.507</v>
      </c>
      <c r="AY18" s="10">
        <v>4956.126</v>
      </c>
      <c r="AZ18" s="10">
        <v>18740.227</v>
      </c>
      <c r="BA18" s="10">
        <v>17326.383</v>
      </c>
      <c r="BB18" s="10">
        <v>25312.206</v>
      </c>
      <c r="BC18" s="10">
        <v>21781.115</v>
      </c>
      <c r="BD18" s="10">
        <v>9935.321</v>
      </c>
      <c r="BE18" s="10">
        <v>8101.137</v>
      </c>
      <c r="BF18" s="10">
        <v>15136.096</v>
      </c>
      <c r="BG18" s="10">
        <v>6134.807</v>
      </c>
      <c r="BH18" s="207">
        <v>1537.144</v>
      </c>
      <c r="BI18" s="10">
        <v>6238.318</v>
      </c>
      <c r="BJ18" s="10">
        <v>3444.859</v>
      </c>
      <c r="BK18" s="10">
        <v>72.889</v>
      </c>
      <c r="BL18" s="10">
        <v>106.778</v>
      </c>
      <c r="BM18" s="10">
        <v>37.202</v>
      </c>
      <c r="BN18" s="10">
        <v>2503.672</v>
      </c>
      <c r="BO18" s="10">
        <v>466.356</v>
      </c>
      <c r="BP18" s="10"/>
      <c r="BQ18" s="10"/>
      <c r="BR18" s="10"/>
      <c r="BS18" s="114">
        <f>SUM(B18:BO18)</f>
        <v>16024485.317999994</v>
      </c>
      <c r="BT18" s="114">
        <f aca="true" t="shared" si="2" ref="BT18:BT56">SUM(D18+W18+AA18+AB18+AE18+AG18+AO18+AQ18+AS18+AV18+BC18+BD18+BE18+BG18+BJ18+BK18+BL18+BN18+BO18)</f>
        <v>2544908.079</v>
      </c>
      <c r="BU18" s="114">
        <f aca="true" t="shared" si="3" ref="BU18:BU56">SUM(C18+F18+G18+K18+L18+N18+P18+Q18+S18+Z18+AK18+AL18+AU18)</f>
        <v>5630474.35</v>
      </c>
      <c r="BV18" s="114">
        <f aca="true" t="shared" si="4" ref="BV18:BV56">SUM(B18+E18+H18+I18+J18+M18+O18+R18+U18+V18+Y18+AC18+AD18+AH18+AJ18+AM18+AN18+AP18+AW18+AX18+AZ18+BB18+BF18+BM18)</f>
        <v>7531661.136</v>
      </c>
      <c r="BW18" s="114">
        <f t="shared" si="0"/>
        <v>15707043.565</v>
      </c>
      <c r="BX18" s="114">
        <f aca="true" t="shared" si="5" ref="BX18:BX56">SUM(T18+X18+AF18+AI18+AR18+AT18+AY18+BA18+BH18+BI18)</f>
        <v>317441.75299999997</v>
      </c>
      <c r="BY18" s="114"/>
      <c r="BZ18" s="114">
        <f t="shared" si="1"/>
        <v>16024485.318</v>
      </c>
    </row>
    <row r="19" spans="1:78" ht="12.75">
      <c r="A19" s="47" t="s">
        <v>402</v>
      </c>
      <c r="B19" s="10">
        <v>6527.284</v>
      </c>
      <c r="C19" s="10">
        <v>93804.614</v>
      </c>
      <c r="D19" s="10">
        <v>0</v>
      </c>
      <c r="E19" s="10">
        <v>0</v>
      </c>
      <c r="F19" s="10">
        <v>25298.417</v>
      </c>
      <c r="G19" s="10">
        <v>10731.997</v>
      </c>
      <c r="H19" s="10">
        <v>0</v>
      </c>
      <c r="I19" s="10">
        <v>0</v>
      </c>
      <c r="J19" s="10">
        <v>0</v>
      </c>
      <c r="K19" s="10">
        <v>10324.461</v>
      </c>
      <c r="L19" s="10">
        <v>4612.671</v>
      </c>
      <c r="M19" s="10">
        <v>97352.726</v>
      </c>
      <c r="N19" s="10">
        <v>16006.828</v>
      </c>
      <c r="O19" s="10">
        <v>545.027</v>
      </c>
      <c r="P19" s="10">
        <v>10233.5</v>
      </c>
      <c r="Q19" s="10">
        <v>2330.185</v>
      </c>
      <c r="R19" s="10">
        <v>9225.943</v>
      </c>
      <c r="S19" s="10">
        <v>0</v>
      </c>
      <c r="T19" s="10">
        <v>0</v>
      </c>
      <c r="U19" s="10">
        <v>392.157</v>
      </c>
      <c r="V19" s="10">
        <v>0</v>
      </c>
      <c r="W19" s="10">
        <v>0</v>
      </c>
      <c r="X19" s="10">
        <v>0</v>
      </c>
      <c r="Y19" s="10">
        <v>0</v>
      </c>
      <c r="Z19" s="10">
        <v>2781.378</v>
      </c>
      <c r="AA19" s="10">
        <v>0</v>
      </c>
      <c r="AB19" s="10">
        <v>0</v>
      </c>
      <c r="AC19" s="10">
        <v>2632.65</v>
      </c>
      <c r="AD19" s="10">
        <v>0</v>
      </c>
      <c r="AE19" s="10">
        <v>0</v>
      </c>
      <c r="AF19" s="10">
        <v>0</v>
      </c>
      <c r="AG19" s="10">
        <v>0</v>
      </c>
      <c r="AH19" s="10">
        <v>1240.704</v>
      </c>
      <c r="AI19" s="10">
        <v>0</v>
      </c>
      <c r="AJ19" s="10">
        <v>0</v>
      </c>
      <c r="AK19" s="10">
        <v>1149.655</v>
      </c>
      <c r="AL19" s="10">
        <v>782.402</v>
      </c>
      <c r="AM19" s="10">
        <v>0</v>
      </c>
      <c r="AN19" s="10">
        <v>0</v>
      </c>
      <c r="AO19" s="10">
        <v>3686.309</v>
      </c>
      <c r="AP19" s="10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895.241</v>
      </c>
      <c r="AV19" s="10">
        <v>184.669</v>
      </c>
      <c r="AW19" s="10">
        <v>0</v>
      </c>
      <c r="AX19" s="10">
        <v>0</v>
      </c>
      <c r="AY19" s="10">
        <v>0</v>
      </c>
      <c r="AZ19" s="10">
        <v>0</v>
      </c>
      <c r="BA19" s="10">
        <v>0</v>
      </c>
      <c r="BB19" s="10">
        <v>148.678</v>
      </c>
      <c r="BC19" s="10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7829.972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/>
      <c r="BQ19" s="10"/>
      <c r="BR19" s="10"/>
      <c r="BS19" s="114">
        <f aca="true" t="shared" si="6" ref="BS19:BS56">SUM(B19:BO19)</f>
        <v>308717.46800000017</v>
      </c>
      <c r="BT19" s="114">
        <f t="shared" si="2"/>
        <v>3870.978</v>
      </c>
      <c r="BU19" s="114">
        <f t="shared" si="3"/>
        <v>178951.34900000002</v>
      </c>
      <c r="BV19" s="114">
        <f t="shared" si="4"/>
        <v>118065.169</v>
      </c>
      <c r="BW19" s="114">
        <f t="shared" si="0"/>
        <v>300887.49600000004</v>
      </c>
      <c r="BX19" s="114">
        <f t="shared" si="5"/>
        <v>7829.972</v>
      </c>
      <c r="BY19" s="114"/>
      <c r="BZ19" s="114">
        <f t="shared" si="1"/>
        <v>308717.46800000005</v>
      </c>
    </row>
    <row r="20" spans="1:78" ht="12.75">
      <c r="A20" s="47" t="s">
        <v>403</v>
      </c>
      <c r="B20" s="10">
        <v>3462134.743</v>
      </c>
      <c r="C20" s="10">
        <v>2858186.571</v>
      </c>
      <c r="D20" s="10">
        <v>3707133.844</v>
      </c>
      <c r="E20" s="10">
        <v>743282.836</v>
      </c>
      <c r="F20" s="10">
        <v>2530536.841</v>
      </c>
      <c r="G20" s="10">
        <v>775132.873</v>
      </c>
      <c r="H20" s="10">
        <v>955658.466</v>
      </c>
      <c r="I20" s="10">
        <v>1026265.939</v>
      </c>
      <c r="J20" s="10">
        <v>738758.228</v>
      </c>
      <c r="K20" s="10">
        <v>783147.882</v>
      </c>
      <c r="L20" s="10">
        <v>988259.509</v>
      </c>
      <c r="M20" s="10">
        <v>734821.581</v>
      </c>
      <c r="N20" s="10">
        <v>188850.209</v>
      </c>
      <c r="O20" s="10">
        <v>1084877.877</v>
      </c>
      <c r="P20" s="10">
        <v>381191.136</v>
      </c>
      <c r="Q20" s="10">
        <v>469173.95</v>
      </c>
      <c r="R20" s="10">
        <v>256481.218</v>
      </c>
      <c r="S20" s="10">
        <v>544987.436</v>
      </c>
      <c r="T20" s="10">
        <v>843947.334</v>
      </c>
      <c r="U20" s="10">
        <v>137144.323</v>
      </c>
      <c r="V20" s="10">
        <v>351625.519</v>
      </c>
      <c r="W20" s="10">
        <v>329511.135</v>
      </c>
      <c r="X20" s="10">
        <v>123256.072</v>
      </c>
      <c r="Y20" s="10">
        <v>163892.326</v>
      </c>
      <c r="Z20" s="10">
        <v>238855.136</v>
      </c>
      <c r="AA20" s="10">
        <v>106303.19</v>
      </c>
      <c r="AB20" s="10">
        <v>144024.293</v>
      </c>
      <c r="AC20" s="10">
        <v>126904.466</v>
      </c>
      <c r="AD20" s="10">
        <v>179539.106</v>
      </c>
      <c r="AE20" s="10">
        <v>428976.676</v>
      </c>
      <c r="AF20" s="10">
        <v>94512.655</v>
      </c>
      <c r="AG20" s="10">
        <v>163325.84</v>
      </c>
      <c r="AH20" s="10">
        <v>105767.469</v>
      </c>
      <c r="AI20" s="10">
        <v>23296</v>
      </c>
      <c r="AJ20" s="10">
        <v>61354.723</v>
      </c>
      <c r="AK20" s="10">
        <v>112300.744</v>
      </c>
      <c r="AL20" s="10">
        <v>56780.252</v>
      </c>
      <c r="AM20" s="10">
        <v>98713.02</v>
      </c>
      <c r="AN20" s="10">
        <v>106502.933</v>
      </c>
      <c r="AO20" s="10">
        <v>154328.857</v>
      </c>
      <c r="AP20" s="10">
        <v>45223.157</v>
      </c>
      <c r="AQ20" s="10">
        <v>116104.84</v>
      </c>
      <c r="AR20" s="10">
        <v>21615.605</v>
      </c>
      <c r="AS20" s="10">
        <v>53940.84</v>
      </c>
      <c r="AT20" s="10">
        <v>95525.447</v>
      </c>
      <c r="AU20" s="10">
        <v>32866.716</v>
      </c>
      <c r="AV20" s="10">
        <v>86971.493</v>
      </c>
      <c r="AW20" s="10">
        <v>230488.843</v>
      </c>
      <c r="AX20" s="10">
        <v>44096.622</v>
      </c>
      <c r="AY20" s="10">
        <v>4060.646</v>
      </c>
      <c r="AZ20" s="10">
        <f>22620.553+3606.149</f>
        <v>26226.702</v>
      </c>
      <c r="BA20" s="10">
        <v>42516.726</v>
      </c>
      <c r="BB20" s="10">
        <v>23337.274</v>
      </c>
      <c r="BC20" s="10">
        <v>16248.774</v>
      </c>
      <c r="BD20" s="10">
        <v>39286.383</v>
      </c>
      <c r="BE20" s="10">
        <v>15095.603</v>
      </c>
      <c r="BF20" s="10">
        <v>23540.854</v>
      </c>
      <c r="BG20" s="10">
        <v>13735.98</v>
      </c>
      <c r="BH20" s="10">
        <v>0</v>
      </c>
      <c r="BI20" s="10">
        <v>8320.996</v>
      </c>
      <c r="BJ20" s="10">
        <v>19471.472</v>
      </c>
      <c r="BK20" s="10">
        <v>0</v>
      </c>
      <c r="BL20" s="10">
        <v>0</v>
      </c>
      <c r="BM20" s="10">
        <v>1021.956</v>
      </c>
      <c r="BN20" s="10">
        <v>1075.579</v>
      </c>
      <c r="BO20" s="10">
        <v>0</v>
      </c>
      <c r="BP20" s="10"/>
      <c r="BQ20" s="10"/>
      <c r="BR20" s="10"/>
      <c r="BS20" s="114">
        <f t="shared" si="6"/>
        <v>27340515.716</v>
      </c>
      <c r="BT20" s="114">
        <f t="shared" si="2"/>
        <v>5395534.799000001</v>
      </c>
      <c r="BU20" s="114">
        <f t="shared" si="3"/>
        <v>9960269.255</v>
      </c>
      <c r="BV20" s="114">
        <f t="shared" si="4"/>
        <v>10727660.181</v>
      </c>
      <c r="BW20" s="114">
        <f t="shared" si="0"/>
        <v>26083464.235</v>
      </c>
      <c r="BX20" s="114">
        <f t="shared" si="5"/>
        <v>1257051.481</v>
      </c>
      <c r="BY20" s="114"/>
      <c r="BZ20" s="114">
        <f t="shared" si="1"/>
        <v>27340515.716</v>
      </c>
    </row>
    <row r="21" spans="1:78" ht="12.75">
      <c r="A21" s="47" t="s">
        <v>456</v>
      </c>
      <c r="B21" s="10">
        <v>565749.01</v>
      </c>
      <c r="C21" s="10">
        <v>1731664.67</v>
      </c>
      <c r="D21" s="10">
        <v>0</v>
      </c>
      <c r="E21" s="10">
        <v>432160.465</v>
      </c>
      <c r="F21" s="10">
        <v>6101878.736</v>
      </c>
      <c r="G21" s="10">
        <v>429549.216</v>
      </c>
      <c r="H21" s="10">
        <v>241847.391</v>
      </c>
      <c r="I21" s="10">
        <v>5121399.8</v>
      </c>
      <c r="J21" s="10">
        <v>280299.007</v>
      </c>
      <c r="K21" s="10">
        <v>316832.315</v>
      </c>
      <c r="L21" s="10">
        <v>393013.579</v>
      </c>
      <c r="M21" s="10">
        <v>700386.417</v>
      </c>
      <c r="N21" s="10">
        <v>135683.478</v>
      </c>
      <c r="O21" s="10">
        <v>104139.939</v>
      </c>
      <c r="P21" s="10">
        <v>1084950.057</v>
      </c>
      <c r="Q21" s="10">
        <v>422248.963</v>
      </c>
      <c r="R21" s="10">
        <v>30557.164</v>
      </c>
      <c r="S21" s="10">
        <v>193644.084</v>
      </c>
      <c r="T21" s="10">
        <v>81945.701</v>
      </c>
      <c r="U21" s="10">
        <v>0</v>
      </c>
      <c r="V21" s="10">
        <v>139052.147</v>
      </c>
      <c r="W21" s="10">
        <v>0</v>
      </c>
      <c r="X21" s="10">
        <v>2438601.866</v>
      </c>
      <c r="Y21" s="10">
        <v>355342.453</v>
      </c>
      <c r="Z21" s="10">
        <v>3024.4</v>
      </c>
      <c r="AA21" s="10">
        <v>0</v>
      </c>
      <c r="AB21" s="10">
        <v>0</v>
      </c>
      <c r="AC21" s="10">
        <v>10916.577</v>
      </c>
      <c r="AD21" s="10">
        <v>38013.595</v>
      </c>
      <c r="AE21" s="10">
        <v>0</v>
      </c>
      <c r="AF21" s="10">
        <v>568011.106</v>
      </c>
      <c r="AG21" s="10">
        <v>56070.205</v>
      </c>
      <c r="AH21" s="10">
        <v>455098.218</v>
      </c>
      <c r="AI21" s="10">
        <v>989297</v>
      </c>
      <c r="AJ21" s="10">
        <v>15807.872</v>
      </c>
      <c r="AK21" s="10">
        <v>73077.063</v>
      </c>
      <c r="AL21" s="10">
        <v>0</v>
      </c>
      <c r="AM21" s="10">
        <v>73886.468</v>
      </c>
      <c r="AN21" s="10">
        <v>483.375</v>
      </c>
      <c r="AO21" s="10">
        <v>1091.758</v>
      </c>
      <c r="AP21" s="10">
        <v>19880.403</v>
      </c>
      <c r="AQ21" s="10">
        <v>0</v>
      </c>
      <c r="AR21" s="10">
        <v>57227.737</v>
      </c>
      <c r="AS21" s="10">
        <v>2092.545</v>
      </c>
      <c r="AT21" s="10">
        <v>111653.858</v>
      </c>
      <c r="AU21" s="10">
        <v>11089.791</v>
      </c>
      <c r="AV21" s="10">
        <v>0</v>
      </c>
      <c r="AW21" s="10">
        <v>79871</v>
      </c>
      <c r="AX21" s="10">
        <v>0</v>
      </c>
      <c r="AY21" s="10">
        <v>10085.767</v>
      </c>
      <c r="AZ21" s="10">
        <v>0</v>
      </c>
      <c r="BA21" s="10">
        <f>3282.479+47593.789</f>
        <v>50876.268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/>
      <c r="BQ21" s="10"/>
      <c r="BR21" s="10"/>
      <c r="BS21" s="114">
        <f t="shared" si="6"/>
        <v>23928501.463999998</v>
      </c>
      <c r="BT21" s="114">
        <f t="shared" si="2"/>
        <v>59254.508</v>
      </c>
      <c r="BU21" s="114">
        <f t="shared" si="3"/>
        <v>10896656.351999998</v>
      </c>
      <c r="BV21" s="114">
        <f t="shared" si="4"/>
        <v>8664891.301</v>
      </c>
      <c r="BW21" s="114">
        <f t="shared" si="0"/>
        <v>19620802.161</v>
      </c>
      <c r="BX21" s="114">
        <f t="shared" si="5"/>
        <v>4307699.303</v>
      </c>
      <c r="BY21" s="114"/>
      <c r="BZ21" s="114">
        <f t="shared" si="1"/>
        <v>23928501.463999998</v>
      </c>
    </row>
    <row r="22" spans="1:78" ht="12.75">
      <c r="A22" s="47" t="s">
        <v>457</v>
      </c>
      <c r="B22" s="10">
        <v>2928574.574</v>
      </c>
      <c r="C22" s="10">
        <v>5940875.652</v>
      </c>
      <c r="D22" s="10">
        <v>622149.23</v>
      </c>
      <c r="E22" s="10">
        <v>3338560.268</v>
      </c>
      <c r="F22" s="10">
        <v>0</v>
      </c>
      <c r="G22" s="10">
        <v>4391615.655</v>
      </c>
      <c r="H22" s="10">
        <v>112236.79</v>
      </c>
      <c r="I22" s="10">
        <v>6263354.307</v>
      </c>
      <c r="J22" s="10">
        <v>0</v>
      </c>
      <c r="K22" s="10">
        <v>1282893.849</v>
      </c>
      <c r="L22" s="10">
        <v>0</v>
      </c>
      <c r="M22" s="10">
        <v>2354528.624</v>
      </c>
      <c r="N22" s="10">
        <v>1564769.026</v>
      </c>
      <c r="O22" s="10">
        <v>0</v>
      </c>
      <c r="P22" s="10">
        <v>2608793.103</v>
      </c>
      <c r="Q22" s="10">
        <v>990905.916</v>
      </c>
      <c r="R22" s="10">
        <v>200938.041</v>
      </c>
      <c r="S22" s="10">
        <v>228838.017</v>
      </c>
      <c r="T22" s="10">
        <v>84204.968</v>
      </c>
      <c r="U22" s="10">
        <v>807894.987</v>
      </c>
      <c r="V22" s="10">
        <v>674647.069</v>
      </c>
      <c r="W22" s="10">
        <v>57285.4</v>
      </c>
      <c r="X22" s="10">
        <v>166525.568</v>
      </c>
      <c r="Y22" s="10">
        <v>1995789.6</v>
      </c>
      <c r="Z22" s="10">
        <v>0</v>
      </c>
      <c r="AA22" s="10">
        <v>60907.81</v>
      </c>
      <c r="AB22" s="10">
        <v>0</v>
      </c>
      <c r="AC22" s="10">
        <v>155633.254</v>
      </c>
      <c r="AD22" s="10">
        <v>0</v>
      </c>
      <c r="AE22" s="10">
        <v>0</v>
      </c>
      <c r="AF22" s="10">
        <v>4616693.059</v>
      </c>
      <c r="AG22" s="10">
        <v>1349446.268</v>
      </c>
      <c r="AH22" s="10">
        <v>7023.86</v>
      </c>
      <c r="AI22" s="10">
        <v>463355</v>
      </c>
      <c r="AJ22" s="10">
        <v>235418.16</v>
      </c>
      <c r="AK22" s="10">
        <v>154219.119</v>
      </c>
      <c r="AL22" s="10">
        <v>0</v>
      </c>
      <c r="AM22" s="10">
        <v>355591.452</v>
      </c>
      <c r="AN22" s="10">
        <v>574577.679</v>
      </c>
      <c r="AO22" s="10">
        <v>29802.765</v>
      </c>
      <c r="AP22" s="10">
        <v>95415.248</v>
      </c>
      <c r="AQ22" s="10">
        <v>0</v>
      </c>
      <c r="AR22" s="10">
        <v>368775.06</v>
      </c>
      <c r="AS22" s="10">
        <v>34074.7</v>
      </c>
      <c r="AT22" s="10">
        <v>149969.119</v>
      </c>
      <c r="AU22" s="10">
        <v>2334.588</v>
      </c>
      <c r="AV22" s="10">
        <v>0</v>
      </c>
      <c r="AW22" s="10">
        <v>0</v>
      </c>
      <c r="AX22" s="10">
        <v>119940.308</v>
      </c>
      <c r="AY22" s="10">
        <v>202867.592</v>
      </c>
      <c r="AZ22" s="10">
        <v>157019.228</v>
      </c>
      <c r="BA22" s="10">
        <v>81781.795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6627.564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114">
        <f t="shared" si="6"/>
        <v>45836854.27200002</v>
      </c>
      <c r="BT22" s="114">
        <f t="shared" si="2"/>
        <v>2153666.173</v>
      </c>
      <c r="BU22" s="114">
        <f t="shared" si="3"/>
        <v>17165244.925</v>
      </c>
      <c r="BV22" s="114">
        <f t="shared" si="4"/>
        <v>20377143.448999997</v>
      </c>
      <c r="BW22" s="114">
        <f t="shared" si="0"/>
        <v>39696054.547</v>
      </c>
      <c r="BX22" s="114">
        <f t="shared" si="5"/>
        <v>6140799.725000001</v>
      </c>
      <c r="BY22" s="114"/>
      <c r="BZ22" s="114">
        <f t="shared" si="1"/>
        <v>45836854.272</v>
      </c>
    </row>
    <row r="23" spans="1:78" ht="12.75">
      <c r="A23" s="47" t="s">
        <v>404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12094.18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45118.875</v>
      </c>
      <c r="R23" s="10">
        <v>0</v>
      </c>
      <c r="S23" s="10">
        <v>15035.753</v>
      </c>
      <c r="T23" s="10">
        <v>0</v>
      </c>
      <c r="U23" s="10">
        <v>305832.219</v>
      </c>
      <c r="V23" s="10">
        <v>0</v>
      </c>
      <c r="W23" s="10">
        <v>0</v>
      </c>
      <c r="X23" s="10">
        <v>0</v>
      </c>
      <c r="Y23" s="10">
        <v>0</v>
      </c>
      <c r="Z23" s="10">
        <v>140367.958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0</v>
      </c>
      <c r="AS23" s="10">
        <v>0</v>
      </c>
      <c r="AT23" s="10">
        <v>0</v>
      </c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v>0</v>
      </c>
      <c r="BP23" s="10"/>
      <c r="BQ23" s="10"/>
      <c r="BR23" s="10"/>
      <c r="BS23" s="114">
        <f t="shared" si="6"/>
        <v>518448.985</v>
      </c>
      <c r="BT23" s="114">
        <f t="shared" si="2"/>
        <v>0</v>
      </c>
      <c r="BU23" s="114">
        <f t="shared" si="3"/>
        <v>200522.586</v>
      </c>
      <c r="BV23" s="114">
        <f t="shared" si="4"/>
        <v>317926.399</v>
      </c>
      <c r="BW23" s="114">
        <f t="shared" si="0"/>
        <v>518448.985</v>
      </c>
      <c r="BX23" s="114">
        <f t="shared" si="5"/>
        <v>0</v>
      </c>
      <c r="BY23" s="114"/>
      <c r="BZ23" s="114">
        <f t="shared" si="1"/>
        <v>518448.985</v>
      </c>
    </row>
    <row r="24" spans="1:78" ht="12.75">
      <c r="A24" s="47" t="s">
        <v>405</v>
      </c>
      <c r="B24" s="10">
        <v>0</v>
      </c>
      <c r="C24" s="10">
        <v>10300</v>
      </c>
      <c r="D24" s="10">
        <v>0</v>
      </c>
      <c r="E24" s="10">
        <v>0</v>
      </c>
      <c r="F24" s="10">
        <v>0</v>
      </c>
      <c r="G24" s="10">
        <v>6854.623</v>
      </c>
      <c r="H24" s="10">
        <v>0</v>
      </c>
      <c r="I24" s="10">
        <v>0</v>
      </c>
      <c r="J24" s="10">
        <v>116992</v>
      </c>
      <c r="K24" s="10">
        <v>22288.58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311.71</v>
      </c>
      <c r="U24" s="10">
        <v>0</v>
      </c>
      <c r="V24" s="10">
        <v>6199.59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5362.159</v>
      </c>
      <c r="BF24" s="10">
        <v>0</v>
      </c>
      <c r="BG24" s="10"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v>0</v>
      </c>
      <c r="BN24" s="10">
        <v>0</v>
      </c>
      <c r="BO24" s="10">
        <v>0</v>
      </c>
      <c r="BP24" s="10"/>
      <c r="BQ24" s="10"/>
      <c r="BR24" s="10"/>
      <c r="BS24" s="114">
        <f t="shared" si="6"/>
        <v>168308.66199999995</v>
      </c>
      <c r="BT24" s="114">
        <f t="shared" si="2"/>
        <v>5362.159</v>
      </c>
      <c r="BU24" s="114">
        <f t="shared" si="3"/>
        <v>39443.203</v>
      </c>
      <c r="BV24" s="114">
        <f t="shared" si="4"/>
        <v>123191.59</v>
      </c>
      <c r="BW24" s="114">
        <f t="shared" si="0"/>
        <v>167996.952</v>
      </c>
      <c r="BX24" s="114">
        <f t="shared" si="5"/>
        <v>311.71</v>
      </c>
      <c r="BY24" s="114"/>
      <c r="BZ24" s="114">
        <f t="shared" si="1"/>
        <v>168308.66199999998</v>
      </c>
    </row>
    <row r="25" spans="1:78" ht="12.75">
      <c r="A25" s="47" t="s">
        <v>406</v>
      </c>
      <c r="B25" s="10">
        <v>0</v>
      </c>
      <c r="C25" s="10">
        <v>0</v>
      </c>
      <c r="D25" s="10">
        <v>41495.629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33406.486</v>
      </c>
      <c r="L25" s="10">
        <v>2859.082</v>
      </c>
      <c r="M25" s="10">
        <v>0</v>
      </c>
      <c r="N25" s="10">
        <v>0</v>
      </c>
      <c r="O25" s="10">
        <v>43669.208</v>
      </c>
      <c r="P25" s="10">
        <v>3122.686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118.41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30680.783</v>
      </c>
      <c r="AF25" s="10">
        <v>0</v>
      </c>
      <c r="AG25" s="10">
        <v>0</v>
      </c>
      <c r="AH25" s="10">
        <v>0</v>
      </c>
      <c r="AI25" s="10">
        <v>0</v>
      </c>
      <c r="AJ25" s="10">
        <v>851.222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9299.932</v>
      </c>
      <c r="AQ25" s="10">
        <v>0</v>
      </c>
      <c r="AR25" s="10">
        <v>3.5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104.225</v>
      </c>
      <c r="BB25" s="10">
        <v>0</v>
      </c>
      <c r="BC25" s="10">
        <v>0</v>
      </c>
      <c r="BD25" s="10">
        <v>0</v>
      </c>
      <c r="BE25" s="10">
        <v>13751.027</v>
      </c>
      <c r="BF25" s="10">
        <v>0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2897.387</v>
      </c>
      <c r="BM25" s="10">
        <v>0</v>
      </c>
      <c r="BN25" s="10">
        <v>0</v>
      </c>
      <c r="BO25" s="10">
        <v>925.591</v>
      </c>
      <c r="BP25" s="10"/>
      <c r="BQ25" s="10"/>
      <c r="BR25" s="10"/>
      <c r="BS25" s="114">
        <f t="shared" si="6"/>
        <v>183185.16799999998</v>
      </c>
      <c r="BT25" s="114">
        <f t="shared" si="2"/>
        <v>89750.417</v>
      </c>
      <c r="BU25" s="114">
        <f t="shared" si="3"/>
        <v>39388.254</v>
      </c>
      <c r="BV25" s="114">
        <f t="shared" si="4"/>
        <v>53938.772000000004</v>
      </c>
      <c r="BW25" s="114">
        <f t="shared" si="0"/>
        <v>183077.443</v>
      </c>
      <c r="BX25" s="114">
        <f t="shared" si="5"/>
        <v>107.725</v>
      </c>
      <c r="BY25" s="114"/>
      <c r="BZ25" s="114">
        <f t="shared" si="1"/>
        <v>183185.168</v>
      </c>
    </row>
    <row r="26" spans="1:78" ht="12.75">
      <c r="A26" s="47" t="s">
        <v>488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/>
      <c r="BQ26" s="10"/>
      <c r="BR26" s="10"/>
      <c r="BS26" s="114">
        <f t="shared" si="6"/>
        <v>0</v>
      </c>
      <c r="BT26" s="114">
        <f t="shared" si="2"/>
        <v>0</v>
      </c>
      <c r="BU26" s="114">
        <f t="shared" si="3"/>
        <v>0</v>
      </c>
      <c r="BV26" s="114">
        <f t="shared" si="4"/>
        <v>0</v>
      </c>
      <c r="BW26" s="114">
        <f t="shared" si="0"/>
        <v>0</v>
      </c>
      <c r="BX26" s="114">
        <f t="shared" si="5"/>
        <v>0</v>
      </c>
      <c r="BY26" s="114"/>
      <c r="BZ26" s="114">
        <f t="shared" si="1"/>
        <v>0</v>
      </c>
    </row>
    <row r="27" spans="1:78" ht="12.75">
      <c r="A27" s="47" t="s">
        <v>407</v>
      </c>
      <c r="B27" s="10">
        <v>58506.717</v>
      </c>
      <c r="C27" s="10">
        <f>1079384.579+2014.358</f>
        <v>1081398.937</v>
      </c>
      <c r="D27" s="10">
        <v>14058.747</v>
      </c>
      <c r="E27" s="10">
        <v>37096.502</v>
      </c>
      <c r="F27" s="10">
        <v>0</v>
      </c>
      <c r="G27" s="10">
        <v>0</v>
      </c>
      <c r="H27" s="10">
        <v>0</v>
      </c>
      <c r="I27" s="10">
        <v>456769.169</v>
      </c>
      <c r="J27" s="10">
        <v>110870.85</v>
      </c>
      <c r="K27" s="10">
        <v>5378.985</v>
      </c>
      <c r="L27" s="10">
        <v>6381.405</v>
      </c>
      <c r="M27" s="10">
        <v>0</v>
      </c>
      <c r="N27" s="10">
        <v>16052.366</v>
      </c>
      <c r="O27" s="10">
        <v>4885.42</v>
      </c>
      <c r="P27" s="10">
        <v>12292.159</v>
      </c>
      <c r="Q27" s="10">
        <v>497.878</v>
      </c>
      <c r="R27" s="10">
        <v>2017.024</v>
      </c>
      <c r="S27" s="10">
        <v>479.887</v>
      </c>
      <c r="T27" s="10">
        <v>0</v>
      </c>
      <c r="U27" s="10">
        <v>213.263</v>
      </c>
      <c r="V27" s="10">
        <v>325.08</v>
      </c>
      <c r="W27" s="10">
        <f>1746.359+48805.093</f>
        <v>50551.452</v>
      </c>
      <c r="X27" s="10">
        <v>7004.698</v>
      </c>
      <c r="Y27" s="10">
        <v>2395.656</v>
      </c>
      <c r="Z27" s="10">
        <v>0</v>
      </c>
      <c r="AA27" s="10">
        <v>0</v>
      </c>
      <c r="AB27" s="10">
        <v>825.959</v>
      </c>
      <c r="AC27" s="10">
        <v>0</v>
      </c>
      <c r="AD27" s="10">
        <v>0</v>
      </c>
      <c r="AE27" s="10">
        <v>0</v>
      </c>
      <c r="AF27" s="10">
        <v>712.03</v>
      </c>
      <c r="AG27" s="10">
        <v>0</v>
      </c>
      <c r="AH27" s="10">
        <v>1498.66</v>
      </c>
      <c r="AI27" s="10">
        <v>0</v>
      </c>
      <c r="AJ27" s="10">
        <v>0</v>
      </c>
      <c r="AK27" s="10">
        <v>479.101</v>
      </c>
      <c r="AL27" s="10">
        <v>0</v>
      </c>
      <c r="AM27" s="10">
        <v>111.553</v>
      </c>
      <c r="AN27" s="10">
        <v>0</v>
      </c>
      <c r="AO27" s="10">
        <v>12012.812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64.464</v>
      </c>
      <c r="BB27" s="10">
        <v>0</v>
      </c>
      <c r="BC27" s="10">
        <v>0</v>
      </c>
      <c r="BD27" s="10">
        <v>92.783</v>
      </c>
      <c r="BE27" s="10">
        <v>0</v>
      </c>
      <c r="BF27" s="10">
        <v>0</v>
      </c>
      <c r="BG27" s="10">
        <v>0</v>
      </c>
      <c r="BH27" s="10">
        <v>0</v>
      </c>
      <c r="BI27" s="10">
        <v>12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/>
      <c r="BQ27" s="10"/>
      <c r="BR27" s="10"/>
      <c r="BS27" s="114">
        <f t="shared" si="6"/>
        <v>1882985.5570000003</v>
      </c>
      <c r="BT27" s="114">
        <f t="shared" si="2"/>
        <v>77541.753</v>
      </c>
      <c r="BU27" s="114">
        <f t="shared" si="3"/>
        <v>1122960.718</v>
      </c>
      <c r="BV27" s="114">
        <f t="shared" si="4"/>
        <v>674689.894</v>
      </c>
      <c r="BW27" s="114">
        <f t="shared" si="0"/>
        <v>1875192.3650000002</v>
      </c>
      <c r="BX27" s="114">
        <f t="shared" si="5"/>
        <v>7793.192</v>
      </c>
      <c r="BY27" s="114"/>
      <c r="BZ27" s="114">
        <f t="shared" si="1"/>
        <v>1882985.5570000003</v>
      </c>
    </row>
    <row r="28" spans="1:78" ht="12.75">
      <c r="A28" s="128" t="s">
        <v>408</v>
      </c>
      <c r="B28" s="110">
        <f aca="true" t="shared" si="7" ref="B28:N28">SUM(B17:B27)</f>
        <v>13478019.757999998</v>
      </c>
      <c r="C28" s="110">
        <f t="shared" si="7"/>
        <v>14730956.871999998</v>
      </c>
      <c r="D28" s="110">
        <f t="shared" si="7"/>
        <v>11015719.624000002</v>
      </c>
      <c r="E28" s="110">
        <f t="shared" si="7"/>
        <v>7027394.247</v>
      </c>
      <c r="F28" s="110">
        <f t="shared" si="7"/>
        <v>12009237.825</v>
      </c>
      <c r="G28" s="110">
        <f t="shared" si="7"/>
        <v>6924444.654</v>
      </c>
      <c r="H28" s="110">
        <f t="shared" si="7"/>
        <v>2433261.157</v>
      </c>
      <c r="I28" s="110">
        <f t="shared" si="7"/>
        <v>14080797.265</v>
      </c>
      <c r="J28" s="110">
        <f t="shared" si="7"/>
        <v>2601470.9910000004</v>
      </c>
      <c r="K28" s="110">
        <f t="shared" si="7"/>
        <v>3696566.8299999996</v>
      </c>
      <c r="L28" s="110">
        <f t="shared" si="7"/>
        <v>2481541.7929999996</v>
      </c>
      <c r="M28" s="110">
        <f t="shared" si="7"/>
        <v>4569063.001</v>
      </c>
      <c r="N28" s="110">
        <f t="shared" si="7"/>
        <v>2855162.594</v>
      </c>
      <c r="O28" s="110">
        <f aca="true" t="shared" si="8" ref="O28:Z28">SUM(O17:O27)</f>
        <v>2175848.282</v>
      </c>
      <c r="P28" s="110">
        <f t="shared" si="8"/>
        <v>4791687.395</v>
      </c>
      <c r="Q28" s="110">
        <f t="shared" si="8"/>
        <v>2534644.395</v>
      </c>
      <c r="R28" s="110">
        <f t="shared" si="8"/>
        <v>1356932.6709999999</v>
      </c>
      <c r="S28" s="110">
        <f t="shared" si="8"/>
        <v>1554744.5920000002</v>
      </c>
      <c r="T28" s="110">
        <f>SUM(T17:T27)</f>
        <v>1898381.591</v>
      </c>
      <c r="U28" s="110">
        <f t="shared" si="8"/>
        <v>1673424.921</v>
      </c>
      <c r="V28" s="110">
        <f>SUM(V17:V27)</f>
        <v>1601208.2850000001</v>
      </c>
      <c r="W28" s="110">
        <f t="shared" si="8"/>
        <v>931071.9120000001</v>
      </c>
      <c r="X28" s="110">
        <f>SUM(X17:X27)</f>
        <v>3602962.2169999997</v>
      </c>
      <c r="Y28" s="110">
        <f>SUM(Y17:Y27)</f>
        <v>2736744.172</v>
      </c>
      <c r="Z28" s="110">
        <f t="shared" si="8"/>
        <v>837437.1540000001</v>
      </c>
      <c r="AA28" s="110">
        <f aca="true" t="shared" si="9" ref="AA28:BO28">SUM(AA17:AA27)</f>
        <v>2865469.744</v>
      </c>
      <c r="AB28" s="110">
        <f t="shared" si="9"/>
        <v>1193848.387</v>
      </c>
      <c r="AC28" s="110">
        <f t="shared" si="9"/>
        <v>570318.914</v>
      </c>
      <c r="AD28" s="110">
        <f t="shared" si="9"/>
        <v>496443.421</v>
      </c>
      <c r="AE28" s="110">
        <f t="shared" si="9"/>
        <v>483208.74399999995</v>
      </c>
      <c r="AF28" s="110">
        <f t="shared" si="9"/>
        <v>5914863.456000001</v>
      </c>
      <c r="AG28" s="110">
        <f t="shared" si="9"/>
        <v>1672017.831</v>
      </c>
      <c r="AH28" s="110">
        <f t="shared" si="9"/>
        <v>753948.842</v>
      </c>
      <c r="AI28" s="110">
        <f t="shared" si="9"/>
        <v>2424464</v>
      </c>
      <c r="AJ28" s="110">
        <f t="shared" si="9"/>
        <v>464327.373</v>
      </c>
      <c r="AK28" s="110">
        <f t="shared" si="9"/>
        <v>433600.07100000005</v>
      </c>
      <c r="AL28" s="110">
        <f t="shared" si="9"/>
        <v>240687.976</v>
      </c>
      <c r="AM28" s="110">
        <f t="shared" si="9"/>
        <v>633690.921</v>
      </c>
      <c r="AN28" s="110">
        <f t="shared" si="9"/>
        <v>789457.8200000001</v>
      </c>
      <c r="AO28" s="110">
        <f t="shared" si="9"/>
        <v>343702.926</v>
      </c>
      <c r="AP28" s="110">
        <f t="shared" si="9"/>
        <v>269338.894</v>
      </c>
      <c r="AQ28" s="110">
        <f t="shared" si="9"/>
        <v>243400.592</v>
      </c>
      <c r="AR28" s="110">
        <f t="shared" si="9"/>
        <v>498797.663</v>
      </c>
      <c r="AS28" s="110">
        <f t="shared" si="9"/>
        <v>204260.94199999998</v>
      </c>
      <c r="AT28" s="110">
        <f t="shared" si="9"/>
        <v>420704.192</v>
      </c>
      <c r="AU28" s="110">
        <f t="shared" si="9"/>
        <v>136100.02199999997</v>
      </c>
      <c r="AV28" s="110">
        <f t="shared" si="9"/>
        <v>141705.171</v>
      </c>
      <c r="AW28" s="110">
        <f t="shared" si="9"/>
        <v>310617.684</v>
      </c>
      <c r="AX28" s="110">
        <f t="shared" si="9"/>
        <v>189484.437</v>
      </c>
      <c r="AY28" s="110">
        <f t="shared" si="9"/>
        <v>491900.24199999997</v>
      </c>
      <c r="AZ28" s="110">
        <f t="shared" si="9"/>
        <v>208309.877</v>
      </c>
      <c r="BA28" s="110">
        <f t="shared" si="9"/>
        <v>192669.86100000003</v>
      </c>
      <c r="BB28" s="110">
        <f t="shared" si="9"/>
        <v>48798.157999999996</v>
      </c>
      <c r="BC28" s="110">
        <f t="shared" si="9"/>
        <v>72916.085</v>
      </c>
      <c r="BD28" s="110">
        <f t="shared" si="9"/>
        <v>68288.321</v>
      </c>
      <c r="BE28" s="110">
        <f t="shared" si="9"/>
        <v>102373.791</v>
      </c>
      <c r="BF28" s="110">
        <f t="shared" si="9"/>
        <v>38676.95</v>
      </c>
      <c r="BG28" s="110">
        <f t="shared" si="9"/>
        <v>33697.460999999996</v>
      </c>
      <c r="BH28" s="110">
        <f t="shared" si="9"/>
        <v>21127.75</v>
      </c>
      <c r="BI28" s="110">
        <f t="shared" si="9"/>
        <v>23690.315</v>
      </c>
      <c r="BJ28" s="110">
        <f t="shared" si="9"/>
        <v>46137.288</v>
      </c>
      <c r="BK28" s="110">
        <f t="shared" si="9"/>
        <v>27424.828999999998</v>
      </c>
      <c r="BL28" s="110">
        <f t="shared" si="9"/>
        <v>5004.165</v>
      </c>
      <c r="BM28" s="110">
        <f t="shared" si="9"/>
        <v>1059.158</v>
      </c>
      <c r="BN28" s="110">
        <f t="shared" si="9"/>
        <v>113803.622</v>
      </c>
      <c r="BO28" s="110">
        <f t="shared" si="9"/>
        <v>16593.224</v>
      </c>
      <c r="BP28" s="110"/>
      <c r="BQ28" s="110"/>
      <c r="BR28" s="110"/>
      <c r="BS28" s="114">
        <f t="shared" si="6"/>
        <v>146805655.31800002</v>
      </c>
      <c r="BT28" s="114">
        <f t="shared" si="2"/>
        <v>19580644.659</v>
      </c>
      <c r="BU28" s="114">
        <f t="shared" si="3"/>
        <v>53226812.17299999</v>
      </c>
      <c r="BV28" s="114">
        <f t="shared" si="4"/>
        <v>58508637.198999986</v>
      </c>
      <c r="BW28" s="114">
        <f t="shared" si="0"/>
        <v>131316094.03099997</v>
      </c>
      <c r="BX28" s="114">
        <f t="shared" si="5"/>
        <v>15489561.287000002</v>
      </c>
      <c r="BY28" s="114"/>
      <c r="BZ28" s="114">
        <f t="shared" si="1"/>
        <v>146805655.318</v>
      </c>
    </row>
    <row r="29" spans="1:78" ht="12.75">
      <c r="A29" s="45"/>
      <c r="BS29" s="114"/>
      <c r="BT29" s="114"/>
      <c r="BU29" s="114"/>
      <c r="BV29" s="114"/>
      <c r="BW29" s="114"/>
      <c r="BX29" s="114"/>
      <c r="BY29" s="114"/>
      <c r="BZ29" s="114"/>
    </row>
    <row r="30" spans="1:78" ht="12.75">
      <c r="A30" s="129" t="s">
        <v>409</v>
      </c>
      <c r="B30" s="12"/>
      <c r="C30" s="12"/>
      <c r="D30" s="12"/>
      <c r="E30" s="12"/>
      <c r="F30" s="13"/>
      <c r="G30" s="12"/>
      <c r="H30" s="12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3"/>
      <c r="T30" s="12"/>
      <c r="U30" s="13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3"/>
      <c r="AG30" s="12"/>
      <c r="AH30" s="12"/>
      <c r="AI30" s="12"/>
      <c r="AJ30" s="12"/>
      <c r="AK30" s="13"/>
      <c r="AL30" s="12"/>
      <c r="AM30" s="12"/>
      <c r="AN30" s="12"/>
      <c r="AO30" s="12"/>
      <c r="AP30" s="12"/>
      <c r="AQ30" s="13"/>
      <c r="AR30" s="12"/>
      <c r="AS30" s="12"/>
      <c r="AT30" s="12"/>
      <c r="AU30" s="12"/>
      <c r="AV30" s="12"/>
      <c r="AW30" s="13"/>
      <c r="AX30" s="12"/>
      <c r="AY30" s="12"/>
      <c r="AZ30" s="12"/>
      <c r="BA30" s="12"/>
      <c r="BB30" s="12"/>
      <c r="BC30" s="12"/>
      <c r="BD30" s="12"/>
      <c r="BE30" s="12"/>
      <c r="BF30" s="12"/>
      <c r="BG30" s="1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14"/>
      <c r="BT30" s="114"/>
      <c r="BU30" s="114"/>
      <c r="BV30" s="114"/>
      <c r="BW30" s="114"/>
      <c r="BX30" s="114"/>
      <c r="BY30" s="114"/>
      <c r="BZ30" s="114"/>
    </row>
    <row r="31" spans="1:78" ht="12.75">
      <c r="A31" s="47" t="s">
        <v>367</v>
      </c>
      <c r="B31" s="12">
        <v>1212166.815</v>
      </c>
      <c r="C31" s="12">
        <v>1195684.235</v>
      </c>
      <c r="D31" s="12">
        <v>4255876.758</v>
      </c>
      <c r="E31" s="12">
        <v>844054.609</v>
      </c>
      <c r="F31" s="12">
        <v>792460.252</v>
      </c>
      <c r="G31" s="12">
        <v>364097.561</v>
      </c>
      <c r="H31" s="12">
        <v>94758.801</v>
      </c>
      <c r="I31" s="12">
        <v>320286.137</v>
      </c>
      <c r="J31" s="12">
        <v>536350.972</v>
      </c>
      <c r="K31" s="12">
        <v>113139.503</v>
      </c>
      <c r="L31" s="12">
        <v>217033.519</v>
      </c>
      <c r="M31" s="12">
        <v>481791.06</v>
      </c>
      <c r="N31" s="12">
        <v>196041.851</v>
      </c>
      <c r="O31" s="12">
        <v>69906.276</v>
      </c>
      <c r="P31" s="12">
        <v>254165.421</v>
      </c>
      <c r="Q31" s="12">
        <v>164948.241</v>
      </c>
      <c r="R31" s="12">
        <v>51194.743</v>
      </c>
      <c r="S31" s="12">
        <v>181758.151</v>
      </c>
      <c r="T31" s="12">
        <v>40195.864</v>
      </c>
      <c r="U31" s="12">
        <v>142394.439</v>
      </c>
      <c r="V31" s="12">
        <v>127680.719</v>
      </c>
      <c r="W31" s="12">
        <v>280300.157</v>
      </c>
      <c r="X31" s="12">
        <v>33421.819</v>
      </c>
      <c r="Y31" s="12">
        <v>8327.302</v>
      </c>
      <c r="Z31" s="12">
        <v>96556.369</v>
      </c>
      <c r="AA31" s="12">
        <v>0</v>
      </c>
      <c r="AB31" s="12">
        <v>659030.364</v>
      </c>
      <c r="AC31" s="12">
        <v>102082.515</v>
      </c>
      <c r="AD31" s="12">
        <v>97950.537</v>
      </c>
      <c r="AE31" s="12">
        <v>103870.889</v>
      </c>
      <c r="AF31" s="12">
        <v>27909.493</v>
      </c>
      <c r="AG31" s="12">
        <v>39577.814</v>
      </c>
      <c r="AH31" s="12">
        <v>45640.958</v>
      </c>
      <c r="AI31" s="12">
        <v>7530</v>
      </c>
      <c r="AJ31" s="12">
        <v>62297.362</v>
      </c>
      <c r="AK31" s="12">
        <v>25563.635</v>
      </c>
      <c r="AL31" s="12">
        <v>26096.32</v>
      </c>
      <c r="AM31" s="12">
        <v>21723.52</v>
      </c>
      <c r="AN31" s="12">
        <v>13825.511</v>
      </c>
      <c r="AO31" s="12">
        <v>40722.12</v>
      </c>
      <c r="AP31" s="12">
        <v>61134.375</v>
      </c>
      <c r="AQ31" s="12">
        <v>30688.059</v>
      </c>
      <c r="AR31" s="12">
        <v>7762.956</v>
      </c>
      <c r="AS31" s="12">
        <v>83322.171</v>
      </c>
      <c r="AT31" s="12">
        <f>15586.743</f>
        <v>15586.743</v>
      </c>
      <c r="AU31" s="12">
        <v>27220.5</v>
      </c>
      <c r="AV31" s="12">
        <v>23089.382</v>
      </c>
      <c r="AW31" s="12">
        <v>37558.456</v>
      </c>
      <c r="AX31" s="12">
        <v>28097.45</v>
      </c>
      <c r="AY31" s="12">
        <v>1440</v>
      </c>
      <c r="AZ31" s="12">
        <v>34159.959</v>
      </c>
      <c r="BA31" s="12">
        <v>6521.949</v>
      </c>
      <c r="BB31" s="12">
        <v>33377.321</v>
      </c>
      <c r="BC31" s="12">
        <v>32438.567</v>
      </c>
      <c r="BD31" s="12">
        <v>18200.41</v>
      </c>
      <c r="BE31" s="12">
        <v>97784.2</v>
      </c>
      <c r="BF31" s="12">
        <v>15615.442</v>
      </c>
      <c r="BG31" s="12">
        <v>16941.235</v>
      </c>
      <c r="BH31" s="12">
        <v>4035.125</v>
      </c>
      <c r="BI31" s="12">
        <v>141.804</v>
      </c>
      <c r="BJ31" s="12">
        <v>32791.42</v>
      </c>
      <c r="BK31" s="12">
        <v>0</v>
      </c>
      <c r="BL31" s="12">
        <v>4897.387</v>
      </c>
      <c r="BM31" s="12">
        <v>1438.588</v>
      </c>
      <c r="BN31" s="12">
        <v>123306.085</v>
      </c>
      <c r="BO31" s="12">
        <v>18081.237</v>
      </c>
      <c r="BP31" s="12"/>
      <c r="BQ31" s="12"/>
      <c r="BR31" s="12"/>
      <c r="BS31" s="114">
        <f t="shared" si="6"/>
        <v>14104043.433000002</v>
      </c>
      <c r="BT31" s="114">
        <f t="shared" si="2"/>
        <v>5860918.255000002</v>
      </c>
      <c r="BU31" s="114">
        <f t="shared" si="3"/>
        <v>3654765.5579999997</v>
      </c>
      <c r="BV31" s="114">
        <f t="shared" si="4"/>
        <v>4443813.867000001</v>
      </c>
      <c r="BW31" s="114">
        <f>SUM(BT31:BV31)</f>
        <v>13959497.680000002</v>
      </c>
      <c r="BX31" s="114">
        <f t="shared" si="5"/>
        <v>144545.753</v>
      </c>
      <c r="BY31" s="114"/>
      <c r="BZ31" s="114">
        <f t="shared" si="1"/>
        <v>14104043.433000002</v>
      </c>
    </row>
    <row r="32" spans="1:78" ht="12.75">
      <c r="A32" s="47" t="s">
        <v>410</v>
      </c>
      <c r="B32" s="10">
        <v>54573.585</v>
      </c>
      <c r="C32" s="10">
        <v>3129.904</v>
      </c>
      <c r="D32" s="10">
        <v>33445.508</v>
      </c>
      <c r="E32" s="10">
        <v>0</v>
      </c>
      <c r="F32" s="10">
        <v>33550.575</v>
      </c>
      <c r="G32" s="10">
        <v>13102.964</v>
      </c>
      <c r="H32" s="10">
        <v>18779.851</v>
      </c>
      <c r="I32" s="10">
        <v>2800.441</v>
      </c>
      <c r="J32" s="10">
        <v>14879.607</v>
      </c>
      <c r="K32" s="10">
        <v>24685.247</v>
      </c>
      <c r="L32" s="10">
        <v>20341.137</v>
      </c>
      <c r="M32" s="10">
        <v>3385.59</v>
      </c>
      <c r="N32" s="10">
        <v>10679.351</v>
      </c>
      <c r="O32" s="10">
        <v>7456.751</v>
      </c>
      <c r="P32" s="10">
        <v>1489.046</v>
      </c>
      <c r="Q32" s="10">
        <v>10842.075</v>
      </c>
      <c r="R32" s="10">
        <v>12018.97</v>
      </c>
      <c r="S32" s="10">
        <v>7816.629</v>
      </c>
      <c r="T32" s="10">
        <v>20397.188</v>
      </c>
      <c r="U32" s="10">
        <v>0</v>
      </c>
      <c r="V32" s="10">
        <v>6262.032</v>
      </c>
      <c r="W32" s="10">
        <v>5107.252</v>
      </c>
      <c r="X32" s="10">
        <v>1122.241</v>
      </c>
      <c r="Y32" s="10">
        <v>1551.906</v>
      </c>
      <c r="Z32" s="10">
        <v>8.126</v>
      </c>
      <c r="AA32" s="10">
        <v>11254.677</v>
      </c>
      <c r="AB32" s="10">
        <v>0</v>
      </c>
      <c r="AC32" s="10">
        <v>5608.155</v>
      </c>
      <c r="AD32" s="10">
        <v>1141.746</v>
      </c>
      <c r="AE32" s="10">
        <v>1596.513</v>
      </c>
      <c r="AF32" s="10">
        <v>14613.008</v>
      </c>
      <c r="AG32" s="10">
        <v>875.711</v>
      </c>
      <c r="AH32" s="10">
        <v>8467.886</v>
      </c>
      <c r="AI32" s="10">
        <v>21441</v>
      </c>
      <c r="AJ32" s="10">
        <v>1120.667</v>
      </c>
      <c r="AK32" s="10">
        <v>0</v>
      </c>
      <c r="AL32" s="10">
        <v>0</v>
      </c>
      <c r="AM32" s="10">
        <v>0</v>
      </c>
      <c r="AN32" s="10">
        <v>550.585</v>
      </c>
      <c r="AO32" s="10">
        <v>973.881</v>
      </c>
      <c r="AP32" s="10">
        <v>589.727</v>
      </c>
      <c r="AQ32" s="12">
        <v>340.039</v>
      </c>
      <c r="AR32" s="10">
        <v>5393.273</v>
      </c>
      <c r="AS32" s="10">
        <v>1063.787</v>
      </c>
      <c r="AT32" s="10">
        <v>718.799</v>
      </c>
      <c r="AU32" s="10">
        <v>85.456</v>
      </c>
      <c r="AV32" s="10">
        <v>1195.936</v>
      </c>
      <c r="AW32" s="10">
        <v>312.73</v>
      </c>
      <c r="AX32" s="10">
        <v>61.373</v>
      </c>
      <c r="AY32" s="10">
        <v>0</v>
      </c>
      <c r="AZ32" s="12">
        <v>0</v>
      </c>
      <c r="BA32" s="10">
        <v>1261.659</v>
      </c>
      <c r="BB32" s="10">
        <v>478.182</v>
      </c>
      <c r="BC32" s="10">
        <v>14.539</v>
      </c>
      <c r="BD32" s="10">
        <v>0</v>
      </c>
      <c r="BE32" s="10">
        <v>0.031</v>
      </c>
      <c r="BF32" s="10">
        <v>0</v>
      </c>
      <c r="BG32" s="10">
        <v>281.667</v>
      </c>
      <c r="BH32" s="10">
        <v>0</v>
      </c>
      <c r="BI32" s="10">
        <v>350.633</v>
      </c>
      <c r="BJ32" s="10">
        <v>0</v>
      </c>
      <c r="BK32" s="10">
        <v>0</v>
      </c>
      <c r="BL32" s="10">
        <v>0</v>
      </c>
      <c r="BM32" s="10">
        <v>0</v>
      </c>
      <c r="BN32" s="10">
        <v>107.322</v>
      </c>
      <c r="BO32" s="10">
        <v>0</v>
      </c>
      <c r="BP32" s="10"/>
      <c r="BQ32" s="10"/>
      <c r="BR32" s="10"/>
      <c r="BS32" s="114">
        <f t="shared" si="6"/>
        <v>387324.9579999999</v>
      </c>
      <c r="BT32" s="114">
        <f t="shared" si="2"/>
        <v>56256.863000000005</v>
      </c>
      <c r="BU32" s="114">
        <f t="shared" si="3"/>
        <v>125730.51000000001</v>
      </c>
      <c r="BV32" s="114">
        <f t="shared" si="4"/>
        <v>140039.784</v>
      </c>
      <c r="BW32" s="114">
        <f aca="true" t="shared" si="10" ref="BW32:BW37">SUM(BT32:BV32)</f>
        <v>322027.157</v>
      </c>
      <c r="BX32" s="114">
        <f t="shared" si="5"/>
        <v>65297.801</v>
      </c>
      <c r="BY32" s="114"/>
      <c r="BZ32" s="114">
        <f t="shared" si="1"/>
        <v>387324.958</v>
      </c>
    </row>
    <row r="33" spans="1:78" ht="12.75">
      <c r="A33" s="47" t="s">
        <v>411</v>
      </c>
      <c r="B33" s="10">
        <v>67941.973</v>
      </c>
      <c r="C33" s="10">
        <v>91247.792</v>
      </c>
      <c r="D33" s="10">
        <v>60681.532</v>
      </c>
      <c r="E33" s="10">
        <v>42773.587</v>
      </c>
      <c r="F33" s="10">
        <v>43193.618</v>
      </c>
      <c r="G33" s="10">
        <v>23234.324</v>
      </c>
      <c r="H33" s="10">
        <v>19231.176</v>
      </c>
      <c r="I33" s="10">
        <v>12168.422</v>
      </c>
      <c r="J33" s="10">
        <v>22319.411</v>
      </c>
      <c r="K33" s="10">
        <v>29243.548</v>
      </c>
      <c r="L33" s="10">
        <v>28081.942</v>
      </c>
      <c r="M33" s="10">
        <v>17982.925</v>
      </c>
      <c r="N33" s="10">
        <v>23255.705</v>
      </c>
      <c r="O33" s="10">
        <v>917.463</v>
      </c>
      <c r="P33" s="10">
        <v>27385.317</v>
      </c>
      <c r="Q33" s="10">
        <v>16991.447</v>
      </c>
      <c r="R33" s="10">
        <v>16462.002</v>
      </c>
      <c r="S33" s="10">
        <v>6885.89</v>
      </c>
      <c r="T33" s="10">
        <v>5361.578</v>
      </c>
      <c r="U33" s="10">
        <v>0</v>
      </c>
      <c r="V33" s="10">
        <v>4160.115</v>
      </c>
      <c r="W33" s="10">
        <v>5597.366</v>
      </c>
      <c r="X33" s="10">
        <v>5669.606</v>
      </c>
      <c r="Y33" s="10">
        <v>3349.488</v>
      </c>
      <c r="Z33" s="10">
        <v>15015.438</v>
      </c>
      <c r="AA33" s="10">
        <v>3843.133</v>
      </c>
      <c r="AB33" s="10">
        <v>6967.788</v>
      </c>
      <c r="AC33" s="10">
        <v>5217.678</v>
      </c>
      <c r="AD33" s="10">
        <v>1395.467</v>
      </c>
      <c r="AE33" s="10">
        <v>2857.636</v>
      </c>
      <c r="AF33" s="10">
        <v>1797.088</v>
      </c>
      <c r="AG33" s="10">
        <v>1290.895</v>
      </c>
      <c r="AH33" s="10">
        <v>3684.464</v>
      </c>
      <c r="AI33" s="10">
        <v>294</v>
      </c>
      <c r="AJ33" s="10">
        <v>888.532</v>
      </c>
      <c r="AK33" s="10">
        <v>4301.44</v>
      </c>
      <c r="AL33" s="10">
        <v>6014.074</v>
      </c>
      <c r="AM33" s="10">
        <v>1644.993</v>
      </c>
      <c r="AN33" s="10">
        <v>1406.966</v>
      </c>
      <c r="AO33" s="10">
        <v>2712.428</v>
      </c>
      <c r="AP33" s="10">
        <v>1565.087</v>
      </c>
      <c r="AQ33" s="12">
        <v>4031.652</v>
      </c>
      <c r="AR33" s="10">
        <v>796.184</v>
      </c>
      <c r="AS33" s="10">
        <v>1980.401</v>
      </c>
      <c r="AT33" s="10">
        <v>819.462</v>
      </c>
      <c r="AU33" s="10">
        <v>2903.961</v>
      </c>
      <c r="AV33" s="10">
        <v>806.815</v>
      </c>
      <c r="AW33" s="10">
        <v>1411.33</v>
      </c>
      <c r="AX33" s="10">
        <v>789.405</v>
      </c>
      <c r="AY33" s="10">
        <v>2590.036</v>
      </c>
      <c r="AZ33" s="12">
        <v>1394.957</v>
      </c>
      <c r="BA33" s="10">
        <v>195.873</v>
      </c>
      <c r="BB33" s="10">
        <v>312.974</v>
      </c>
      <c r="BC33" s="10">
        <v>1625.666</v>
      </c>
      <c r="BD33" s="10">
        <v>250.56</v>
      </c>
      <c r="BE33" s="10">
        <v>1977.058</v>
      </c>
      <c r="BF33" s="10">
        <v>1389.746</v>
      </c>
      <c r="BG33" s="10">
        <v>281.667</v>
      </c>
      <c r="BH33" s="10">
        <v>137.79</v>
      </c>
      <c r="BI33" s="10">
        <v>690.266</v>
      </c>
      <c r="BJ33" s="10">
        <v>695.34</v>
      </c>
      <c r="BK33" s="10">
        <v>1098.408</v>
      </c>
      <c r="BL33" s="10">
        <v>0</v>
      </c>
      <c r="BM33" s="10">
        <v>81.448</v>
      </c>
      <c r="BN33" s="10">
        <v>1487.474</v>
      </c>
      <c r="BO33" s="10">
        <v>299.114</v>
      </c>
      <c r="BP33" s="10"/>
      <c r="BQ33" s="10"/>
      <c r="BR33" s="10"/>
      <c r="BS33" s="114">
        <f t="shared" si="6"/>
        <v>663080.9210000001</v>
      </c>
      <c r="BT33" s="114">
        <f t="shared" si="2"/>
        <v>98484.933</v>
      </c>
      <c r="BU33" s="114">
        <f t="shared" si="3"/>
        <v>317754.49600000004</v>
      </c>
      <c r="BV33" s="114">
        <f t="shared" si="4"/>
        <v>228489.60899999997</v>
      </c>
      <c r="BW33" s="114">
        <f t="shared" si="10"/>
        <v>644729.0380000001</v>
      </c>
      <c r="BX33" s="114">
        <f t="shared" si="5"/>
        <v>18351.882999999998</v>
      </c>
      <c r="BY33" s="114"/>
      <c r="BZ33" s="114">
        <f t="shared" si="1"/>
        <v>663080.9210000001</v>
      </c>
    </row>
    <row r="34" spans="1:78" ht="12.75">
      <c r="A34" s="47" t="s">
        <v>412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198.734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4615.623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2">
        <v>0</v>
      </c>
      <c r="AR34" s="10">
        <v>0</v>
      </c>
      <c r="AS34" s="10">
        <v>0</v>
      </c>
      <c r="AT34" s="10">
        <v>46691.428</v>
      </c>
      <c r="AU34" s="10">
        <v>0</v>
      </c>
      <c r="AV34" s="10">
        <v>0</v>
      </c>
      <c r="AW34" s="10">
        <v>1627.729</v>
      </c>
      <c r="AX34" s="10">
        <v>0</v>
      </c>
      <c r="AY34" s="10">
        <v>0</v>
      </c>
      <c r="AZ34" s="12">
        <v>0</v>
      </c>
      <c r="BA34" s="10">
        <v>0</v>
      </c>
      <c r="BB34" s="10">
        <v>1014.483</v>
      </c>
      <c r="BC34" s="10">
        <v>0</v>
      </c>
      <c r="BD34" s="10">
        <v>0</v>
      </c>
      <c r="BE34" s="10">
        <v>0</v>
      </c>
      <c r="BF34" s="10">
        <v>0</v>
      </c>
      <c r="BG34" s="10">
        <v>0</v>
      </c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v>0</v>
      </c>
      <c r="BN34" s="10">
        <v>0</v>
      </c>
      <c r="BO34" s="10">
        <v>0</v>
      </c>
      <c r="BP34" s="10"/>
      <c r="BQ34" s="10"/>
      <c r="BR34" s="10"/>
      <c r="BS34" s="114">
        <f t="shared" si="6"/>
        <v>54147.997</v>
      </c>
      <c r="BT34" s="114">
        <f t="shared" si="2"/>
        <v>0</v>
      </c>
      <c r="BU34" s="114">
        <f t="shared" si="3"/>
        <v>0</v>
      </c>
      <c r="BV34" s="114">
        <f t="shared" si="4"/>
        <v>7456.569</v>
      </c>
      <c r="BW34" s="114">
        <f t="shared" si="10"/>
        <v>7456.569</v>
      </c>
      <c r="BX34" s="114">
        <f t="shared" si="5"/>
        <v>46691.428</v>
      </c>
      <c r="BY34" s="114"/>
      <c r="BZ34" s="114">
        <f t="shared" si="1"/>
        <v>54147.997</v>
      </c>
    </row>
    <row r="35" spans="1:78" ht="12.75">
      <c r="A35" s="47" t="s">
        <v>413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13667.196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1516.452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150</v>
      </c>
      <c r="AO35" s="10">
        <v>0</v>
      </c>
      <c r="AP35" s="10">
        <v>0</v>
      </c>
      <c r="AQ35" s="12">
        <v>4755.957</v>
      </c>
      <c r="AR35" s="10">
        <v>-5233.947</v>
      </c>
      <c r="AS35" s="10">
        <v>0</v>
      </c>
      <c r="AT35" s="10">
        <v>0</v>
      </c>
      <c r="AU35" s="10">
        <v>0</v>
      </c>
      <c r="AV35" s="10">
        <v>0</v>
      </c>
      <c r="AW35" s="10">
        <v>215.691</v>
      </c>
      <c r="AX35" s="10">
        <v>0</v>
      </c>
      <c r="AY35" s="10">
        <v>0</v>
      </c>
      <c r="AZ35" s="12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v>0</v>
      </c>
      <c r="BG35" s="10"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v>0</v>
      </c>
      <c r="BN35" s="10">
        <v>0</v>
      </c>
      <c r="BO35" s="10">
        <v>0</v>
      </c>
      <c r="BP35" s="10"/>
      <c r="BQ35" s="10"/>
      <c r="BR35" s="10"/>
      <c r="BS35" s="114">
        <f t="shared" si="6"/>
        <v>15071.349</v>
      </c>
      <c r="BT35" s="114">
        <f t="shared" si="2"/>
        <v>4755.957</v>
      </c>
      <c r="BU35" s="114">
        <f t="shared" si="3"/>
        <v>0</v>
      </c>
      <c r="BV35" s="114">
        <f t="shared" si="4"/>
        <v>14032.887</v>
      </c>
      <c r="BW35" s="114">
        <f t="shared" si="10"/>
        <v>18788.844</v>
      </c>
      <c r="BX35" s="114">
        <f t="shared" si="5"/>
        <v>-3717.495</v>
      </c>
      <c r="BY35" s="114"/>
      <c r="BZ35" s="114">
        <f t="shared" si="1"/>
        <v>15071.349000000002</v>
      </c>
    </row>
    <row r="36" spans="1:78" ht="12.75">
      <c r="A36" s="47" t="s">
        <v>487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6634.431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2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2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/>
      <c r="BQ36" s="10"/>
      <c r="BR36" s="10"/>
      <c r="BS36" s="114">
        <f t="shared" si="6"/>
        <v>6634.431</v>
      </c>
      <c r="BT36" s="114">
        <f t="shared" si="2"/>
        <v>0</v>
      </c>
      <c r="BU36" s="114">
        <f t="shared" si="3"/>
        <v>0</v>
      </c>
      <c r="BV36" s="114">
        <f t="shared" si="4"/>
        <v>6634.431</v>
      </c>
      <c r="BW36" s="114">
        <f t="shared" si="10"/>
        <v>6634.431</v>
      </c>
      <c r="BX36" s="114">
        <f t="shared" si="5"/>
        <v>0</v>
      </c>
      <c r="BY36" s="114"/>
      <c r="BZ36" s="114">
        <f t="shared" si="1"/>
        <v>6634.431</v>
      </c>
    </row>
    <row r="37" spans="1:78" ht="12.75">
      <c r="A37" s="47" t="s">
        <v>414</v>
      </c>
      <c r="B37" s="10">
        <v>52357.357</v>
      </c>
      <c r="C37" s="10">
        <v>1130389.922</v>
      </c>
      <c r="D37" s="10">
        <f>24405.652+9813.253</f>
        <v>34218.905</v>
      </c>
      <c r="E37" s="10">
        <v>21390.536</v>
      </c>
      <c r="F37" s="10">
        <v>97025.121</v>
      </c>
      <c r="G37" s="10">
        <v>61748.156</v>
      </c>
      <c r="H37" s="10">
        <v>5415.064</v>
      </c>
      <c r="I37" s="10">
        <v>251361.713</v>
      </c>
      <c r="J37" s="10">
        <v>0</v>
      </c>
      <c r="K37" s="10">
        <v>26973.338</v>
      </c>
      <c r="L37" s="10">
        <v>0</v>
      </c>
      <c r="M37" s="10">
        <v>0</v>
      </c>
      <c r="N37" s="10">
        <v>3889.976</v>
      </c>
      <c r="O37" s="10">
        <v>7059.085</v>
      </c>
      <c r="P37" s="10">
        <v>0</v>
      </c>
      <c r="Q37" s="10">
        <v>1185.714</v>
      </c>
      <c r="R37" s="10">
        <v>0</v>
      </c>
      <c r="S37" s="10">
        <v>0</v>
      </c>
      <c r="T37" s="10">
        <v>0</v>
      </c>
      <c r="U37" s="10">
        <v>101895.052</v>
      </c>
      <c r="V37" s="10">
        <v>0</v>
      </c>
      <c r="W37" s="10">
        <v>0</v>
      </c>
      <c r="X37" s="10">
        <v>0</v>
      </c>
      <c r="Y37" s="10">
        <v>11540.932</v>
      </c>
      <c r="Z37" s="10">
        <v>0</v>
      </c>
      <c r="AA37" s="10">
        <f>20032.969+6693.172</f>
        <v>26726.141</v>
      </c>
      <c r="AB37" s="10">
        <v>0</v>
      </c>
      <c r="AC37" s="10">
        <v>865.021</v>
      </c>
      <c r="AD37" s="10">
        <v>58.479</v>
      </c>
      <c r="AE37" s="10">
        <v>0</v>
      </c>
      <c r="AF37" s="10">
        <v>0</v>
      </c>
      <c r="AG37" s="10">
        <v>0</v>
      </c>
      <c r="AH37" s="10">
        <v>818.584</v>
      </c>
      <c r="AI37" s="10">
        <v>33738</v>
      </c>
      <c r="AJ37" s="10">
        <v>0</v>
      </c>
      <c r="AK37" s="10">
        <v>0</v>
      </c>
      <c r="AL37" s="10">
        <v>626.583</v>
      </c>
      <c r="AM37" s="10">
        <v>4821.348</v>
      </c>
      <c r="AN37" s="10">
        <v>0</v>
      </c>
      <c r="AO37" s="10">
        <v>3010.485</v>
      </c>
      <c r="AP37" s="10">
        <v>1164.015</v>
      </c>
      <c r="AQ37" s="12">
        <v>0</v>
      </c>
      <c r="AR37" s="10">
        <v>0</v>
      </c>
      <c r="AS37" s="10">
        <v>0</v>
      </c>
      <c r="AT37" s="10">
        <v>0</v>
      </c>
      <c r="AU37" s="10">
        <v>-16.8</v>
      </c>
      <c r="AV37" s="10">
        <v>0</v>
      </c>
      <c r="AW37" s="10">
        <v>49.638</v>
      </c>
      <c r="AX37" s="10">
        <v>0</v>
      </c>
      <c r="AY37" s="10">
        <v>0</v>
      </c>
      <c r="AZ37" s="12">
        <v>114.691</v>
      </c>
      <c r="BA37" s="10">
        <v>0</v>
      </c>
      <c r="BB37" s="10">
        <v>0</v>
      </c>
      <c r="BC37" s="10">
        <v>817.602</v>
      </c>
      <c r="BD37" s="10">
        <v>0</v>
      </c>
      <c r="BE37" s="10">
        <v>397.482</v>
      </c>
      <c r="BF37" s="10">
        <v>0</v>
      </c>
      <c r="BG37" s="10">
        <v>0</v>
      </c>
      <c r="BH37" s="10">
        <v>43.69</v>
      </c>
      <c r="BI37" s="10">
        <v>19629.02</v>
      </c>
      <c r="BJ37" s="10">
        <v>0</v>
      </c>
      <c r="BK37" s="10">
        <v>2582.531</v>
      </c>
      <c r="BL37" s="10">
        <f>183.943-183.943</f>
        <v>0</v>
      </c>
      <c r="BM37" s="10">
        <v>0</v>
      </c>
      <c r="BN37" s="10">
        <v>412.766</v>
      </c>
      <c r="BO37" s="10">
        <v>0</v>
      </c>
      <c r="BP37" s="10"/>
      <c r="BQ37" s="10"/>
      <c r="BR37" s="10"/>
      <c r="BS37" s="114">
        <f t="shared" si="6"/>
        <v>1902310.1470000003</v>
      </c>
      <c r="BT37" s="114">
        <f t="shared" si="2"/>
        <v>68165.91200000001</v>
      </c>
      <c r="BU37" s="114">
        <f t="shared" si="3"/>
        <v>1321822.01</v>
      </c>
      <c r="BV37" s="114">
        <f t="shared" si="4"/>
        <v>458911.515</v>
      </c>
      <c r="BW37" s="114">
        <f t="shared" si="10"/>
        <v>1848899.437</v>
      </c>
      <c r="BX37" s="114">
        <f t="shared" si="5"/>
        <v>53410.71000000001</v>
      </c>
      <c r="BY37" s="114"/>
      <c r="BZ37" s="114">
        <f t="shared" si="1"/>
        <v>1902310.1469999999</v>
      </c>
    </row>
    <row r="38" spans="1:78" ht="12.75">
      <c r="A38" s="128" t="s">
        <v>415</v>
      </c>
      <c r="B38" s="110">
        <f aca="true" t="shared" si="11" ref="B38:AG38">SUM(B31:B37)</f>
        <v>1387039.73</v>
      </c>
      <c r="C38" s="110">
        <f>SUM(C31:C37)</f>
        <v>2420451.853</v>
      </c>
      <c r="D38" s="110">
        <f t="shared" si="11"/>
        <v>4384222.703000001</v>
      </c>
      <c r="E38" s="110">
        <f>SUM(E31:E37)</f>
        <v>908218.732</v>
      </c>
      <c r="F38" s="110">
        <f>SUM(F31:F37)</f>
        <v>966229.566</v>
      </c>
      <c r="G38" s="110">
        <f>SUM(G31:G37)</f>
        <v>462183.005</v>
      </c>
      <c r="H38" s="110">
        <f>SUM(H31:H37)</f>
        <v>138184.89200000002</v>
      </c>
      <c r="I38" s="110">
        <f>SUM(I31:I37)</f>
        <v>586616.713</v>
      </c>
      <c r="J38" s="110">
        <f t="shared" si="11"/>
        <v>573549.9899999999</v>
      </c>
      <c r="K38" s="110">
        <f>SUM(K31:K37)</f>
        <v>194041.636</v>
      </c>
      <c r="L38" s="110">
        <f t="shared" si="11"/>
        <v>265456.598</v>
      </c>
      <c r="M38" s="110">
        <f t="shared" si="11"/>
        <v>516826.771</v>
      </c>
      <c r="N38" s="110">
        <f t="shared" si="11"/>
        <v>233866.883</v>
      </c>
      <c r="O38" s="110">
        <f t="shared" si="11"/>
        <v>85538.30900000001</v>
      </c>
      <c r="P38" s="110">
        <f t="shared" si="11"/>
        <v>283039.784</v>
      </c>
      <c r="Q38" s="110">
        <f>SUM(Q31:Q37)</f>
        <v>193967.47700000004</v>
      </c>
      <c r="R38" s="110">
        <f t="shared" si="11"/>
        <v>79675.715</v>
      </c>
      <c r="S38" s="110">
        <f t="shared" si="11"/>
        <v>196460.67</v>
      </c>
      <c r="T38" s="110">
        <f>SUM(T31:T37)</f>
        <v>65954.62999999999</v>
      </c>
      <c r="U38" s="110">
        <f t="shared" si="11"/>
        <v>244289.491</v>
      </c>
      <c r="V38" s="110">
        <f>SUM(V31:V37)</f>
        <v>149352.91999999998</v>
      </c>
      <c r="W38" s="110">
        <f t="shared" si="11"/>
        <v>291004.77499999997</v>
      </c>
      <c r="X38" s="110">
        <f>SUM(X31:X37)</f>
        <v>40213.666000000005</v>
      </c>
      <c r="Y38" s="110">
        <f>SUM(Y31:Y37)</f>
        <v>24769.627999999997</v>
      </c>
      <c r="Z38" s="110">
        <f t="shared" si="11"/>
        <v>111579.933</v>
      </c>
      <c r="AA38" s="110">
        <f>SUM(AA31:AA37)</f>
        <v>41823.951</v>
      </c>
      <c r="AB38" s="110">
        <f t="shared" si="11"/>
        <v>665998.1519999999</v>
      </c>
      <c r="AC38" s="110">
        <f t="shared" si="11"/>
        <v>113773.36899999999</v>
      </c>
      <c r="AD38" s="110">
        <f t="shared" si="11"/>
        <v>100546.229</v>
      </c>
      <c r="AE38" s="110">
        <f t="shared" si="11"/>
        <v>108325.038</v>
      </c>
      <c r="AF38" s="110">
        <f>SUM(AF31:AF37)</f>
        <v>45836.041</v>
      </c>
      <c r="AG38" s="110">
        <f t="shared" si="11"/>
        <v>41744.42</v>
      </c>
      <c r="AH38" s="110">
        <f aca="true" t="shared" si="12" ref="AH38:BO38">SUM(AH31:AH37)</f>
        <v>58611.892</v>
      </c>
      <c r="AI38" s="110">
        <f t="shared" si="12"/>
        <v>63003</v>
      </c>
      <c r="AJ38" s="110">
        <f t="shared" si="12"/>
        <v>64306.561</v>
      </c>
      <c r="AK38" s="110">
        <f t="shared" si="12"/>
        <v>29865.074999999997</v>
      </c>
      <c r="AL38" s="110">
        <f t="shared" si="12"/>
        <v>32736.977</v>
      </c>
      <c r="AM38" s="110">
        <f t="shared" si="12"/>
        <v>28189.860999999997</v>
      </c>
      <c r="AN38" s="110">
        <f t="shared" si="12"/>
        <v>15933.062000000002</v>
      </c>
      <c r="AO38" s="110">
        <f t="shared" si="12"/>
        <v>47418.914000000004</v>
      </c>
      <c r="AP38" s="110">
        <f t="shared" si="12"/>
        <v>64453.204</v>
      </c>
      <c r="AQ38" s="110">
        <f t="shared" si="12"/>
        <v>39815.707</v>
      </c>
      <c r="AR38" s="110">
        <f t="shared" si="12"/>
        <v>8718.465999999999</v>
      </c>
      <c r="AS38" s="110">
        <f t="shared" si="12"/>
        <v>86366.359</v>
      </c>
      <c r="AT38" s="110">
        <f t="shared" si="12"/>
        <v>63816.432</v>
      </c>
      <c r="AU38" s="110">
        <f t="shared" si="12"/>
        <v>30193.117</v>
      </c>
      <c r="AV38" s="110">
        <f t="shared" si="12"/>
        <v>25092.133</v>
      </c>
      <c r="AW38" s="110">
        <f t="shared" si="12"/>
        <v>41175.574</v>
      </c>
      <c r="AX38" s="110">
        <f t="shared" si="12"/>
        <v>28948.228</v>
      </c>
      <c r="AY38" s="110">
        <f t="shared" si="12"/>
        <v>4030.036</v>
      </c>
      <c r="AZ38" s="110">
        <f t="shared" si="12"/>
        <v>35669.607</v>
      </c>
      <c r="BA38" s="110">
        <f t="shared" si="12"/>
        <v>7979.481</v>
      </c>
      <c r="BB38" s="110">
        <f t="shared" si="12"/>
        <v>35182.96000000001</v>
      </c>
      <c r="BC38" s="110">
        <f t="shared" si="12"/>
        <v>34896.373999999996</v>
      </c>
      <c r="BD38" s="110">
        <f t="shared" si="12"/>
        <v>18450.97</v>
      </c>
      <c r="BE38" s="110">
        <f t="shared" si="12"/>
        <v>100158.77100000001</v>
      </c>
      <c r="BF38" s="110">
        <f t="shared" si="12"/>
        <v>17005.188</v>
      </c>
      <c r="BG38" s="110">
        <f t="shared" si="12"/>
        <v>17504.569000000003</v>
      </c>
      <c r="BH38" s="110">
        <f t="shared" si="12"/>
        <v>4216.605</v>
      </c>
      <c r="BI38" s="110">
        <f t="shared" si="12"/>
        <v>20811.723</v>
      </c>
      <c r="BJ38" s="110">
        <f t="shared" si="12"/>
        <v>33486.759999999995</v>
      </c>
      <c r="BK38" s="110">
        <f t="shared" si="12"/>
        <v>3680.939</v>
      </c>
      <c r="BL38" s="110">
        <f t="shared" si="12"/>
        <v>4897.387</v>
      </c>
      <c r="BM38" s="110">
        <f t="shared" si="12"/>
        <v>1520.036</v>
      </c>
      <c r="BN38" s="110">
        <f t="shared" si="12"/>
        <v>125313.64700000001</v>
      </c>
      <c r="BO38" s="110">
        <f t="shared" si="12"/>
        <v>18380.351000000002</v>
      </c>
      <c r="BP38" s="110"/>
      <c r="BQ38" s="110"/>
      <c r="BR38" s="110"/>
      <c r="BS38" s="114">
        <f t="shared" si="6"/>
        <v>17132613.236000005</v>
      </c>
      <c r="BT38" s="114">
        <f t="shared" si="2"/>
        <v>6088581.920000001</v>
      </c>
      <c r="BU38" s="114">
        <f t="shared" si="3"/>
        <v>5420072.574</v>
      </c>
      <c r="BV38" s="114">
        <f t="shared" si="4"/>
        <v>5299378.662</v>
      </c>
      <c r="BW38" s="114">
        <f>SUM(BT38:BV38)</f>
        <v>16808033.156</v>
      </c>
      <c r="BX38" s="114">
        <f t="shared" si="5"/>
        <v>324580.07999999996</v>
      </c>
      <c r="BY38" s="114"/>
      <c r="BZ38" s="114">
        <f t="shared" si="1"/>
        <v>17132613.235999998</v>
      </c>
    </row>
    <row r="39" spans="1:78" ht="12.75">
      <c r="A39" s="45"/>
      <c r="B39" s="12"/>
      <c r="C39" s="12"/>
      <c r="D39" s="12"/>
      <c r="E39" s="12"/>
      <c r="F39" s="13"/>
      <c r="G39" s="12"/>
      <c r="H39" s="12"/>
      <c r="I39" s="13"/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12"/>
      <c r="U39" s="13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3"/>
      <c r="AG39" s="12"/>
      <c r="AH39" s="12"/>
      <c r="AI39" s="12"/>
      <c r="AJ39" s="12"/>
      <c r="AK39" s="13"/>
      <c r="AL39" s="12"/>
      <c r="AM39" s="12"/>
      <c r="AN39" s="12"/>
      <c r="AO39" s="12"/>
      <c r="AP39" s="12"/>
      <c r="AQ39" s="13"/>
      <c r="AR39" s="12"/>
      <c r="AS39" s="12"/>
      <c r="AT39" s="12"/>
      <c r="AU39" s="12"/>
      <c r="AV39" s="12"/>
      <c r="AW39" s="13"/>
      <c r="AX39" s="12"/>
      <c r="AY39" s="12"/>
      <c r="AZ39" s="12"/>
      <c r="BA39" s="12"/>
      <c r="BB39" s="12"/>
      <c r="BC39" s="12"/>
      <c r="BD39" s="12"/>
      <c r="BE39" s="12" t="s">
        <v>165</v>
      </c>
      <c r="BF39" s="12"/>
      <c r="BG39" s="13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14"/>
      <c r="BT39" s="114"/>
      <c r="BU39" s="114"/>
      <c r="BV39" s="114"/>
      <c r="BW39" s="114"/>
      <c r="BX39" s="114"/>
      <c r="BY39" s="114"/>
      <c r="BZ39" s="114"/>
    </row>
    <row r="40" spans="1:78" ht="12.75">
      <c r="A40" s="129" t="s">
        <v>416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14"/>
      <c r="BT40" s="114"/>
      <c r="BU40" s="114"/>
      <c r="BV40" s="114"/>
      <c r="BW40" s="114"/>
      <c r="BX40" s="114"/>
      <c r="BY40" s="114"/>
      <c r="BZ40" s="114"/>
    </row>
    <row r="41" spans="1:78" ht="12.75">
      <c r="A41" s="129" t="s">
        <v>417</v>
      </c>
      <c r="B41" s="110">
        <f aca="true" t="shared" si="13" ref="B41:AJ41">B28-B38</f>
        <v>12090980.027999997</v>
      </c>
      <c r="C41" s="110">
        <f>C28-C38</f>
        <v>12310505.018999998</v>
      </c>
      <c r="D41" s="110">
        <f t="shared" si="13"/>
        <v>6631496.921000001</v>
      </c>
      <c r="E41" s="110">
        <f>E28-E38</f>
        <v>6119175.515000001</v>
      </c>
      <c r="F41" s="110">
        <f>F28-F38</f>
        <v>11043008.259</v>
      </c>
      <c r="G41" s="110">
        <f>G28-G38</f>
        <v>6462261.649</v>
      </c>
      <c r="H41" s="110">
        <f t="shared" si="13"/>
        <v>2295076.265</v>
      </c>
      <c r="I41" s="110">
        <f>I28-I38</f>
        <v>13494180.552000001</v>
      </c>
      <c r="J41" s="110">
        <f t="shared" si="13"/>
        <v>2027921.0010000006</v>
      </c>
      <c r="K41" s="110">
        <f>K28-K38</f>
        <v>3502525.1939999997</v>
      </c>
      <c r="L41" s="110">
        <f t="shared" si="13"/>
        <v>2216085.1949999994</v>
      </c>
      <c r="M41" s="110">
        <f t="shared" si="13"/>
        <v>4052236.23</v>
      </c>
      <c r="N41" s="110">
        <f t="shared" si="13"/>
        <v>2621295.711</v>
      </c>
      <c r="O41" s="110">
        <f t="shared" si="13"/>
        <v>2090309.9730000002</v>
      </c>
      <c r="P41" s="110">
        <f t="shared" si="13"/>
        <v>4508647.611</v>
      </c>
      <c r="Q41" s="110">
        <f t="shared" si="13"/>
        <v>2340676.918</v>
      </c>
      <c r="R41" s="110">
        <f t="shared" si="13"/>
        <v>1277256.9559999998</v>
      </c>
      <c r="S41" s="110">
        <f t="shared" si="13"/>
        <v>1358283.9220000003</v>
      </c>
      <c r="T41" s="110">
        <f>T28-T38</f>
        <v>1832426.9610000001</v>
      </c>
      <c r="U41" s="110">
        <f t="shared" si="13"/>
        <v>1429135.4300000002</v>
      </c>
      <c r="V41" s="110">
        <f>V28-V38</f>
        <v>1451855.3650000002</v>
      </c>
      <c r="W41" s="110">
        <f t="shared" si="13"/>
        <v>640067.1370000001</v>
      </c>
      <c r="X41" s="110">
        <f>X28-X38</f>
        <v>3562748.5509999995</v>
      </c>
      <c r="Y41" s="110">
        <f>Y28-Y38</f>
        <v>2711974.5439999998</v>
      </c>
      <c r="Z41" s="110">
        <f t="shared" si="13"/>
        <v>725857.2210000001</v>
      </c>
      <c r="AA41" s="110">
        <f>AA28-AA38</f>
        <v>2823645.793</v>
      </c>
      <c r="AB41" s="110">
        <f t="shared" si="13"/>
        <v>527850.2350000002</v>
      </c>
      <c r="AC41" s="110">
        <f t="shared" si="13"/>
        <v>456545.545</v>
      </c>
      <c r="AD41" s="110">
        <f t="shared" si="13"/>
        <v>395897.192</v>
      </c>
      <c r="AE41" s="110">
        <f t="shared" si="13"/>
        <v>374883.70599999995</v>
      </c>
      <c r="AF41" s="110">
        <f>AF28-AF38</f>
        <v>5869027.415000001</v>
      </c>
      <c r="AG41" s="110">
        <f t="shared" si="13"/>
        <v>1630273.411</v>
      </c>
      <c r="AH41" s="110">
        <f>AH28-AH38</f>
        <v>695336.95</v>
      </c>
      <c r="AI41" s="110">
        <f>AI28-AI38</f>
        <v>2361461</v>
      </c>
      <c r="AJ41" s="110">
        <f t="shared" si="13"/>
        <v>400020.81200000003</v>
      </c>
      <c r="AK41" s="110">
        <f aca="true" t="shared" si="14" ref="AK41:AP41">AK28-AK38</f>
        <v>403734.99600000004</v>
      </c>
      <c r="AL41" s="110">
        <f t="shared" si="14"/>
        <v>207950.999</v>
      </c>
      <c r="AM41" s="110">
        <f t="shared" si="14"/>
        <v>605501.0599999999</v>
      </c>
      <c r="AN41" s="110">
        <f t="shared" si="14"/>
        <v>773524.758</v>
      </c>
      <c r="AO41" s="110">
        <f>AO28-AO38</f>
        <v>296284.012</v>
      </c>
      <c r="AP41" s="110">
        <f t="shared" si="14"/>
        <v>204885.68999999997</v>
      </c>
      <c r="AQ41" s="110">
        <f aca="true" t="shared" si="15" ref="AQ41:BO41">AQ28-AQ38</f>
        <v>203584.885</v>
      </c>
      <c r="AR41" s="110">
        <f t="shared" si="15"/>
        <v>490079.197</v>
      </c>
      <c r="AS41" s="110">
        <f t="shared" si="15"/>
        <v>117894.58299999998</v>
      </c>
      <c r="AT41" s="110">
        <f t="shared" si="15"/>
        <v>356887.76</v>
      </c>
      <c r="AU41" s="110">
        <f t="shared" si="15"/>
        <v>105906.90499999997</v>
      </c>
      <c r="AV41" s="110">
        <f t="shared" si="15"/>
        <v>116613.038</v>
      </c>
      <c r="AW41" s="110">
        <f t="shared" si="15"/>
        <v>269442.11</v>
      </c>
      <c r="AX41" s="110">
        <f t="shared" si="15"/>
        <v>160536.209</v>
      </c>
      <c r="AY41" s="110">
        <f t="shared" si="15"/>
        <v>487870.20599999995</v>
      </c>
      <c r="AZ41" s="110">
        <f t="shared" si="15"/>
        <v>172640.27000000002</v>
      </c>
      <c r="BA41" s="110">
        <f t="shared" si="15"/>
        <v>184690.38000000003</v>
      </c>
      <c r="BB41" s="110">
        <f t="shared" si="15"/>
        <v>13615.19799999999</v>
      </c>
      <c r="BC41" s="110">
        <f t="shared" si="15"/>
        <v>38019.71100000001</v>
      </c>
      <c r="BD41" s="110">
        <f t="shared" si="15"/>
        <v>49837.350999999995</v>
      </c>
      <c r="BE41" s="110">
        <f t="shared" si="15"/>
        <v>2215.0199999999895</v>
      </c>
      <c r="BF41" s="110">
        <f t="shared" si="15"/>
        <v>21671.762</v>
      </c>
      <c r="BG41" s="110">
        <f t="shared" si="15"/>
        <v>16192.891999999993</v>
      </c>
      <c r="BH41" s="110">
        <f t="shared" si="15"/>
        <v>16911.145</v>
      </c>
      <c r="BI41" s="110">
        <f t="shared" si="15"/>
        <v>2878.591999999997</v>
      </c>
      <c r="BJ41" s="110">
        <f t="shared" si="15"/>
        <v>12650.528000000006</v>
      </c>
      <c r="BK41" s="110">
        <f t="shared" si="15"/>
        <v>23743.89</v>
      </c>
      <c r="BL41" s="110">
        <f t="shared" si="15"/>
        <v>106.77800000000025</v>
      </c>
      <c r="BM41" s="110">
        <f t="shared" si="15"/>
        <v>-460.87800000000016</v>
      </c>
      <c r="BN41" s="110">
        <f t="shared" si="15"/>
        <v>-11510.025000000009</v>
      </c>
      <c r="BO41" s="110">
        <f t="shared" si="15"/>
        <v>-1787.127000000004</v>
      </c>
      <c r="BP41" s="110"/>
      <c r="BQ41" s="110"/>
      <c r="BR41" s="110"/>
      <c r="BS41" s="114">
        <f t="shared" si="6"/>
        <v>129673042.08199999</v>
      </c>
      <c r="BT41" s="114">
        <f t="shared" si="2"/>
        <v>13492062.739000002</v>
      </c>
      <c r="BU41" s="114">
        <f t="shared" si="3"/>
        <v>47806739.59899999</v>
      </c>
      <c r="BV41" s="114">
        <f t="shared" si="4"/>
        <v>53209258.53700001</v>
      </c>
      <c r="BW41" s="114">
        <f>SUM(BT41:BV41)</f>
        <v>114508060.875</v>
      </c>
      <c r="BX41" s="114">
        <f t="shared" si="5"/>
        <v>15164981.207000002</v>
      </c>
      <c r="BY41" s="114"/>
      <c r="BZ41" s="114">
        <f t="shared" si="1"/>
        <v>129673042.082</v>
      </c>
    </row>
    <row r="42" spans="1:78" ht="12.75">
      <c r="A42" s="12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14"/>
      <c r="BT42" s="114"/>
      <c r="BU42" s="114"/>
      <c r="BV42" s="114"/>
      <c r="BW42" s="114"/>
      <c r="BX42" s="114"/>
      <c r="BY42" s="114"/>
      <c r="BZ42" s="114"/>
    </row>
    <row r="43" spans="1:78" ht="12.75">
      <c r="A43" s="129" t="s">
        <v>455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14"/>
      <c r="BT43" s="114"/>
      <c r="BU43" s="114"/>
      <c r="BV43" s="114"/>
      <c r="BW43" s="114"/>
      <c r="BX43" s="114"/>
      <c r="BY43" s="114"/>
      <c r="BZ43" s="114"/>
    </row>
    <row r="44" spans="1:78" ht="12.75">
      <c r="A44" s="127" t="s">
        <v>418</v>
      </c>
      <c r="B44" s="10">
        <v>3829327.964</v>
      </c>
      <c r="C44" s="10">
        <v>5048363.381</v>
      </c>
      <c r="D44" s="10">
        <v>815088.03</v>
      </c>
      <c r="E44" s="10">
        <v>2148912.647</v>
      </c>
      <c r="F44" s="10">
        <v>9726164.362</v>
      </c>
      <c r="G44" s="10">
        <v>1933481.181</v>
      </c>
      <c r="H44" s="10">
        <v>582959.953</v>
      </c>
      <c r="I44" s="10">
        <v>11047279.457</v>
      </c>
      <c r="J44" s="10">
        <v>750272.27</v>
      </c>
      <c r="K44" s="10">
        <v>970312.881</v>
      </c>
      <c r="L44" s="10">
        <v>732350.675</v>
      </c>
      <c r="M44" s="10">
        <v>2982440.643</v>
      </c>
      <c r="N44" s="10">
        <v>745837.39</v>
      </c>
      <c r="O44" s="10">
        <v>539267.663</v>
      </c>
      <c r="P44" s="10">
        <v>3810003.355</v>
      </c>
      <c r="Q44" s="10">
        <v>1085559.569</v>
      </c>
      <c r="R44" s="10">
        <v>953162.234</v>
      </c>
      <c r="S44" s="10">
        <v>524905.712</v>
      </c>
      <c r="T44" s="10">
        <v>655468.45</v>
      </c>
      <c r="U44" s="10">
        <v>269118.213</v>
      </c>
      <c r="V44" s="10">
        <v>298564.199</v>
      </c>
      <c r="W44" s="10">
        <v>182927.884</v>
      </c>
      <c r="X44" s="10">
        <v>3508996.337</v>
      </c>
      <c r="Y44" s="10">
        <v>2485840.756</v>
      </c>
      <c r="Z44" s="10">
        <v>281973.92</v>
      </c>
      <c r="AA44" s="10">
        <v>571097.037</v>
      </c>
      <c r="AB44" s="10">
        <v>0</v>
      </c>
      <c r="AC44" s="10">
        <v>143697.084</v>
      </c>
      <c r="AD44" s="10">
        <v>73697.298</v>
      </c>
      <c r="AE44" s="10">
        <v>21628.891</v>
      </c>
      <c r="AF44" s="10">
        <v>1194886.977</v>
      </c>
      <c r="AG44" s="10">
        <v>1518950.552</v>
      </c>
      <c r="AH44" s="10">
        <f>148351.15+190485.393+121144.576+30314.061</f>
        <v>490295.18</v>
      </c>
      <c r="AI44" s="10">
        <v>1445500</v>
      </c>
      <c r="AJ44" s="10">
        <v>158293.738</v>
      </c>
      <c r="AK44" s="10">
        <v>263323.808</v>
      </c>
      <c r="AL44" s="10">
        <v>0</v>
      </c>
      <c r="AM44" s="10">
        <v>433511.165</v>
      </c>
      <c r="AN44" s="10">
        <v>573778.503</v>
      </c>
      <c r="AO44" s="10">
        <v>45836.7</v>
      </c>
      <c r="AP44" s="10">
        <v>78577.334</v>
      </c>
      <c r="AQ44" s="10">
        <f>1625.212+30453+8.084</f>
        <v>32086.296</v>
      </c>
      <c r="AR44" s="10">
        <v>98818.001</v>
      </c>
      <c r="AS44" s="10">
        <v>1767.25</v>
      </c>
      <c r="AT44" s="10">
        <v>267411.815</v>
      </c>
      <c r="AU44" s="10">
        <v>8112.13</v>
      </c>
      <c r="AV44" s="10">
        <v>0</v>
      </c>
      <c r="AW44" s="10">
        <f>161506.661+12282.264</f>
        <v>173788.925</v>
      </c>
      <c r="AX44" s="10">
        <v>22668.903</v>
      </c>
      <c r="AY44" s="10">
        <v>66057.254</v>
      </c>
      <c r="AZ44" s="10">
        <v>157.239</v>
      </c>
      <c r="BA44" s="10">
        <f>19898.619+131211.153</f>
        <v>151109.772</v>
      </c>
      <c r="BB44" s="10">
        <v>504</v>
      </c>
      <c r="BC44" s="10">
        <v>0</v>
      </c>
      <c r="BD44" s="10">
        <v>0</v>
      </c>
      <c r="BE44" s="10">
        <v>0</v>
      </c>
      <c r="BF44" s="10">
        <f>9601.318+5067.121+1847.379</f>
        <v>16515.818</v>
      </c>
      <c r="BG44" s="10">
        <v>0</v>
      </c>
      <c r="BH44" s="10">
        <v>9381.021</v>
      </c>
      <c r="BI44" s="10">
        <v>0</v>
      </c>
      <c r="BJ44" s="10">
        <v>0</v>
      </c>
      <c r="BK44" s="10">
        <v>6556</v>
      </c>
      <c r="BL44" s="10">
        <v>0</v>
      </c>
      <c r="BM44" s="10">
        <v>0</v>
      </c>
      <c r="BN44" s="10">
        <v>0</v>
      </c>
      <c r="BO44" s="10">
        <v>0</v>
      </c>
      <c r="BP44" s="10"/>
      <c r="BQ44" s="10"/>
      <c r="BR44" s="10"/>
      <c r="BS44" s="114">
        <f t="shared" si="6"/>
        <v>63776587.81699999</v>
      </c>
      <c r="BT44" s="114">
        <f t="shared" si="2"/>
        <v>3195938.64</v>
      </c>
      <c r="BU44" s="114">
        <f t="shared" si="3"/>
        <v>25130388.364</v>
      </c>
      <c r="BV44" s="114">
        <f t="shared" si="4"/>
        <v>28052631.185999997</v>
      </c>
      <c r="BW44" s="114">
        <f>SUM(BT44:BV44)</f>
        <v>56378958.19</v>
      </c>
      <c r="BX44" s="114">
        <f t="shared" si="5"/>
        <v>7397629.626999999</v>
      </c>
      <c r="BY44" s="114"/>
      <c r="BZ44" s="114">
        <f t="shared" si="1"/>
        <v>63776587.816999994</v>
      </c>
    </row>
    <row r="45" spans="1:78" ht="12.75">
      <c r="A45" s="127" t="s">
        <v>419</v>
      </c>
      <c r="B45" s="10">
        <v>6396555.848</v>
      </c>
      <c r="C45" s="10">
        <v>3298188.294</v>
      </c>
      <c r="D45" s="10">
        <v>4118228.541</v>
      </c>
      <c r="E45" s="10">
        <v>3531272.506</v>
      </c>
      <c r="F45" s="10">
        <v>304478.406</v>
      </c>
      <c r="G45" s="10">
        <f>4100831.345</f>
        <v>4100831.345</v>
      </c>
      <c r="H45" s="10">
        <v>1580132.922</v>
      </c>
      <c r="I45" s="10">
        <v>2010821.006</v>
      </c>
      <c r="J45" s="10">
        <v>1084222.937</v>
      </c>
      <c r="K45" s="10">
        <v>1959563.366</v>
      </c>
      <c r="L45" s="10">
        <v>1386566.287</v>
      </c>
      <c r="M45" s="10">
        <v>839943.954</v>
      </c>
      <c r="N45" s="10">
        <v>1811882.993</v>
      </c>
      <c r="O45" s="10">
        <v>836184.122</v>
      </c>
      <c r="P45" s="10">
        <v>647668.051</v>
      </c>
      <c r="Q45" s="10">
        <v>1263851.236</v>
      </c>
      <c r="R45" s="10">
        <v>0</v>
      </c>
      <c r="S45" s="10">
        <v>804267.573</v>
      </c>
      <c r="T45" s="10">
        <v>1101953.828</v>
      </c>
      <c r="U45" s="10">
        <v>1152691.136</v>
      </c>
      <c r="V45" s="10">
        <v>1023661.74</v>
      </c>
      <c r="W45" s="10">
        <v>392177.141</v>
      </c>
      <c r="X45" s="10">
        <v>70009.05</v>
      </c>
      <c r="Y45" s="10">
        <v>189824.669</v>
      </c>
      <c r="Z45" s="10">
        <v>387849.087</v>
      </c>
      <c r="AA45" s="10">
        <v>1864546.117</v>
      </c>
      <c r="AB45" s="10">
        <v>527850.235</v>
      </c>
      <c r="AC45" s="10">
        <v>326000.214</v>
      </c>
      <c r="AD45" s="10">
        <v>337334.839</v>
      </c>
      <c r="AE45" s="10">
        <v>310126.427</v>
      </c>
      <c r="AF45" s="10">
        <v>4597084.327</v>
      </c>
      <c r="AG45" s="10">
        <v>93701.166</v>
      </c>
      <c r="AH45" s="10">
        <v>106623.956</v>
      </c>
      <c r="AI45" s="10">
        <v>908366</v>
      </c>
      <c r="AJ45" s="10">
        <v>229894.046</v>
      </c>
      <c r="AK45" s="10">
        <v>159837.082</v>
      </c>
      <c r="AL45" s="10">
        <v>140000</v>
      </c>
      <c r="AM45" s="10">
        <v>146362.53</v>
      </c>
      <c r="AN45" s="10">
        <v>180460.562</v>
      </c>
      <c r="AO45" s="10">
        <v>45193.107</v>
      </c>
      <c r="AP45" s="10">
        <v>127603.925</v>
      </c>
      <c r="AQ45" s="10">
        <f>36452.849+130708.432-30453+14805.639</f>
        <v>151513.92</v>
      </c>
      <c r="AR45" s="10">
        <v>380892.682</v>
      </c>
      <c r="AS45" s="10">
        <v>103596.178</v>
      </c>
      <c r="AT45" s="10">
        <v>91134.519</v>
      </c>
      <c r="AU45" s="10">
        <v>88833.46</v>
      </c>
      <c r="AV45" s="10">
        <v>103226.181</v>
      </c>
      <c r="AW45" s="10">
        <v>95275.629</v>
      </c>
      <c r="AX45" s="10">
        <v>142293.513</v>
      </c>
      <c r="AY45" s="10">
        <v>410744.592</v>
      </c>
      <c r="AZ45" s="10">
        <v>173770.436</v>
      </c>
      <c r="BA45" s="10">
        <v>34011.319</v>
      </c>
      <c r="BB45" s="10">
        <v>15635.121</v>
      </c>
      <c r="BC45" s="10">
        <v>54214.096</v>
      </c>
      <c r="BD45" s="10">
        <v>32050</v>
      </c>
      <c r="BE45" s="10">
        <v>0</v>
      </c>
      <c r="BF45" s="10">
        <v>6025.903</v>
      </c>
      <c r="BG45" s="10">
        <v>4952.6</v>
      </c>
      <c r="BH45" s="10">
        <v>7709.743</v>
      </c>
      <c r="BI45" s="10">
        <v>2300</v>
      </c>
      <c r="BJ45" s="10">
        <v>15368.975</v>
      </c>
      <c r="BK45" s="10">
        <v>10444</v>
      </c>
      <c r="BL45" s="10"/>
      <c r="BM45" s="10">
        <v>0</v>
      </c>
      <c r="BN45" s="10">
        <v>0</v>
      </c>
      <c r="BO45" s="10">
        <v>0</v>
      </c>
      <c r="BP45" s="10"/>
      <c r="BQ45" s="10"/>
      <c r="BR45" s="10"/>
      <c r="BS45" s="114">
        <f t="shared" si="6"/>
        <v>52317803.438</v>
      </c>
      <c r="BT45" s="114">
        <f t="shared" si="2"/>
        <v>7827188.684</v>
      </c>
      <c r="BU45" s="114">
        <f t="shared" si="3"/>
        <v>16353817.180000003</v>
      </c>
      <c r="BV45" s="114">
        <f t="shared" si="4"/>
        <v>20532591.514000006</v>
      </c>
      <c r="BW45" s="114">
        <f aca="true" t="shared" si="16" ref="BW45:BW56">SUM(BT45:BV45)</f>
        <v>44713597.378000006</v>
      </c>
      <c r="BX45" s="114">
        <f t="shared" si="5"/>
        <v>7604206.0600000005</v>
      </c>
      <c r="BY45" s="114"/>
      <c r="BZ45" s="114">
        <f t="shared" si="1"/>
        <v>52317803.43800001</v>
      </c>
    </row>
    <row r="46" spans="1:78" ht="12.75">
      <c r="A46" s="127" t="s">
        <v>420</v>
      </c>
      <c r="B46" s="10">
        <v>1706782.893</v>
      </c>
      <c r="C46" s="10">
        <v>3811750.198</v>
      </c>
      <c r="D46" s="10">
        <v>608754.55</v>
      </c>
      <c r="E46" s="10">
        <v>173346.242</v>
      </c>
      <c r="F46" s="10">
        <v>906905.136</v>
      </c>
      <c r="G46" s="10">
        <f>50536.328+1700</f>
        <v>52236.328</v>
      </c>
      <c r="H46" s="10">
        <v>154146.43</v>
      </c>
      <c r="I46" s="10">
        <v>56603</v>
      </c>
      <c r="J46" s="10">
        <v>180719.652</v>
      </c>
      <c r="K46" s="10">
        <v>549149.976</v>
      </c>
      <c r="L46" s="10">
        <v>118983.886</v>
      </c>
      <c r="M46" s="10">
        <v>212839.077</v>
      </c>
      <c r="N46" s="10">
        <v>66507.522</v>
      </c>
      <c r="O46" s="10">
        <v>626337.676</v>
      </c>
      <c r="P46" s="10">
        <v>50948.658</v>
      </c>
      <c r="Q46" s="10">
        <v>0</v>
      </c>
      <c r="R46" s="10">
        <v>256075</v>
      </c>
      <c r="S46" s="10">
        <v>116.124</v>
      </c>
      <c r="T46" s="10">
        <v>30267.306</v>
      </c>
      <c r="U46" s="10">
        <v>22355</v>
      </c>
      <c r="V46" s="10">
        <v>106596</v>
      </c>
      <c r="W46" s="10">
        <v>58269.803</v>
      </c>
      <c r="X46" s="10">
        <v>0</v>
      </c>
      <c r="Y46" s="10">
        <v>45386.666</v>
      </c>
      <c r="Z46" s="10">
        <v>46939.126</v>
      </c>
      <c r="AA46" s="10">
        <v>353684.301</v>
      </c>
      <c r="AB46" s="10">
        <v>0</v>
      </c>
      <c r="AC46" s="10">
        <v>33830</v>
      </c>
      <c r="AD46" s="12">
        <v>0</v>
      </c>
      <c r="AE46" s="10">
        <v>28874.005</v>
      </c>
      <c r="AF46" s="10">
        <v>0</v>
      </c>
      <c r="AG46" s="10">
        <v>0</v>
      </c>
      <c r="AH46" s="10">
        <f>39800.758+52726</f>
        <v>92526.758</v>
      </c>
      <c r="AI46" s="10">
        <v>0</v>
      </c>
      <c r="AJ46" s="10">
        <v>10584</v>
      </c>
      <c r="AK46" s="10">
        <v>1800</v>
      </c>
      <c r="AL46" s="10">
        <v>0</v>
      </c>
      <c r="AM46" s="10">
        <v>16600</v>
      </c>
      <c r="AN46" s="10">
        <v>15532.285</v>
      </c>
      <c r="AO46" s="10">
        <v>122155.725</v>
      </c>
      <c r="AP46" s="10">
        <v>0</v>
      </c>
      <c r="AQ46" s="10">
        <f>10882.64+1000</f>
        <v>11882.64</v>
      </c>
      <c r="AR46" s="10">
        <v>12498.937</v>
      </c>
      <c r="AS46" s="10">
        <v>10750</v>
      </c>
      <c r="AT46" s="10">
        <v>0</v>
      </c>
      <c r="AU46" s="10">
        <v>800</v>
      </c>
      <c r="AV46" s="10">
        <v>12600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700</v>
      </c>
      <c r="BC46" s="10">
        <v>3000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3588.82</v>
      </c>
      <c r="BO46" s="10">
        <v>0</v>
      </c>
      <c r="BP46" s="10"/>
      <c r="BQ46" s="10"/>
      <c r="BR46" s="10"/>
      <c r="BS46" s="114">
        <f t="shared" si="6"/>
        <v>10573423.719999999</v>
      </c>
      <c r="BT46" s="114">
        <f t="shared" si="2"/>
        <v>1213559.844</v>
      </c>
      <c r="BU46" s="114">
        <f t="shared" si="3"/>
        <v>5606136.953999999</v>
      </c>
      <c r="BV46" s="114">
        <f t="shared" si="4"/>
        <v>3710960.6790000005</v>
      </c>
      <c r="BW46" s="114">
        <f t="shared" si="16"/>
        <v>10530657.476999998</v>
      </c>
      <c r="BX46" s="114">
        <f t="shared" si="5"/>
        <v>42766.243</v>
      </c>
      <c r="BY46" s="114"/>
      <c r="BZ46" s="114">
        <f t="shared" si="1"/>
        <v>10573423.719999999</v>
      </c>
    </row>
    <row r="47" spans="1:78" ht="12.75">
      <c r="A47" s="127" t="s">
        <v>489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22936.515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25000</v>
      </c>
      <c r="R47" s="10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0">
        <v>0</v>
      </c>
      <c r="AB47" s="12">
        <v>0</v>
      </c>
      <c r="AC47" s="12">
        <v>0</v>
      </c>
      <c r="AD47" s="12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0</v>
      </c>
      <c r="AU47" s="10">
        <v>1509.266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v>0</v>
      </c>
      <c r="BG47" s="10"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v>0</v>
      </c>
      <c r="BN47" s="12">
        <v>0</v>
      </c>
      <c r="BO47" s="10">
        <v>0</v>
      </c>
      <c r="BP47" s="10"/>
      <c r="BQ47" s="10"/>
      <c r="BR47" s="10"/>
      <c r="BS47" s="114">
        <f t="shared" si="6"/>
        <v>49445.781</v>
      </c>
      <c r="BT47" s="114">
        <f t="shared" si="2"/>
        <v>0</v>
      </c>
      <c r="BU47" s="114">
        <f t="shared" si="3"/>
        <v>49445.781</v>
      </c>
      <c r="BV47" s="114">
        <f t="shared" si="4"/>
        <v>0</v>
      </c>
      <c r="BW47" s="114">
        <f t="shared" si="16"/>
        <v>49445.781</v>
      </c>
      <c r="BX47" s="114">
        <f t="shared" si="5"/>
        <v>0</v>
      </c>
      <c r="BY47" s="114"/>
      <c r="BZ47" s="114">
        <f t="shared" si="1"/>
        <v>49445.781</v>
      </c>
    </row>
    <row r="48" spans="1:78" ht="12.75">
      <c r="A48" s="47" t="s">
        <v>421</v>
      </c>
      <c r="B48" s="10">
        <v>6926.963</v>
      </c>
      <c r="C48" s="10">
        <v>4978.52</v>
      </c>
      <c r="D48" s="10">
        <v>0</v>
      </c>
      <c r="E48" s="10">
        <v>1289.504</v>
      </c>
      <c r="F48" s="10">
        <v>0</v>
      </c>
      <c r="G48" s="10">
        <v>263295.855</v>
      </c>
      <c r="H48" s="10">
        <v>0</v>
      </c>
      <c r="I48" s="10">
        <v>0</v>
      </c>
      <c r="J48" s="10">
        <v>47116.298</v>
      </c>
      <c r="K48" s="10">
        <v>0</v>
      </c>
      <c r="L48" s="10">
        <v>0</v>
      </c>
      <c r="M48" s="10">
        <v>0</v>
      </c>
      <c r="N48" s="10">
        <v>647.381</v>
      </c>
      <c r="O48" s="10">
        <v>0</v>
      </c>
      <c r="P48" s="10">
        <v>1581.809</v>
      </c>
      <c r="Q48" s="10">
        <v>0</v>
      </c>
      <c r="R48" s="10">
        <v>2434.061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0">
        <v>0</v>
      </c>
      <c r="AB48" s="12">
        <v>0</v>
      </c>
      <c r="AC48" s="12">
        <v>0</v>
      </c>
      <c r="AD48" s="12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225.564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v>0</v>
      </c>
      <c r="BN48" s="12">
        <v>0</v>
      </c>
      <c r="BO48" s="10">
        <v>0</v>
      </c>
      <c r="BP48" s="10"/>
      <c r="BQ48" s="10"/>
      <c r="BR48" s="10"/>
      <c r="BS48" s="114">
        <f t="shared" si="6"/>
        <v>328495.955</v>
      </c>
      <c r="BT48" s="114">
        <f t="shared" si="2"/>
        <v>0</v>
      </c>
      <c r="BU48" s="114">
        <f t="shared" si="3"/>
        <v>270729.129</v>
      </c>
      <c r="BV48" s="114">
        <f t="shared" si="4"/>
        <v>57766.826</v>
      </c>
      <c r="BW48" s="114">
        <f t="shared" si="16"/>
        <v>328495.955</v>
      </c>
      <c r="BX48" s="114">
        <f t="shared" si="5"/>
        <v>0</v>
      </c>
      <c r="BY48" s="114"/>
      <c r="BZ48" s="114">
        <f t="shared" si="1"/>
        <v>328495.955</v>
      </c>
    </row>
    <row r="49" spans="1:78" ht="13.5" customHeight="1">
      <c r="A49" s="47" t="s">
        <v>422</v>
      </c>
      <c r="B49" s="12">
        <v>73306.496</v>
      </c>
      <c r="C49" s="12">
        <v>0</v>
      </c>
      <c r="D49" s="12">
        <v>23533.079</v>
      </c>
      <c r="E49" s="12">
        <v>0</v>
      </c>
      <c r="F49" s="12">
        <v>54977.778</v>
      </c>
      <c r="G49" s="12">
        <v>6588.905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5229.573</v>
      </c>
      <c r="X49" s="12">
        <v>0</v>
      </c>
      <c r="Y49" s="12">
        <v>0</v>
      </c>
      <c r="Z49" s="12">
        <v>0</v>
      </c>
      <c r="AA49" s="12">
        <v>23533.079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v>0</v>
      </c>
      <c r="BN49" s="12">
        <v>0</v>
      </c>
      <c r="BO49" s="10">
        <v>0</v>
      </c>
      <c r="BP49" s="12"/>
      <c r="BQ49" s="12"/>
      <c r="BR49" s="12"/>
      <c r="BS49" s="114">
        <f t="shared" si="6"/>
        <v>187168.91</v>
      </c>
      <c r="BT49" s="114">
        <f t="shared" si="2"/>
        <v>52295.731</v>
      </c>
      <c r="BU49" s="114">
        <f t="shared" si="3"/>
        <v>61566.683</v>
      </c>
      <c r="BV49" s="114">
        <f t="shared" si="4"/>
        <v>73306.496</v>
      </c>
      <c r="BW49" s="114">
        <f t="shared" si="16"/>
        <v>187168.90999999997</v>
      </c>
      <c r="BX49" s="114">
        <f t="shared" si="5"/>
        <v>0</v>
      </c>
      <c r="BY49" s="114"/>
      <c r="BZ49" s="114">
        <f t="shared" si="1"/>
        <v>187168.90999999997</v>
      </c>
    </row>
    <row r="50" spans="1:78" ht="13.5" customHeight="1">
      <c r="A50" s="128" t="s">
        <v>493</v>
      </c>
      <c r="B50" s="110">
        <f aca="true" t="shared" si="17" ref="B50:N50">SUM(B44:B49)</f>
        <v>12012900.163999999</v>
      </c>
      <c r="C50" s="110">
        <f t="shared" si="17"/>
        <v>12163280.393</v>
      </c>
      <c r="D50" s="110">
        <f t="shared" si="17"/>
        <v>5565604.2</v>
      </c>
      <c r="E50" s="110">
        <f t="shared" si="17"/>
        <v>5854820.898999999</v>
      </c>
      <c r="F50" s="110">
        <f t="shared" si="17"/>
        <v>10992525.682</v>
      </c>
      <c r="G50" s="110">
        <f t="shared" si="17"/>
        <v>6379370.129</v>
      </c>
      <c r="H50" s="110">
        <f t="shared" si="17"/>
        <v>2317239.305</v>
      </c>
      <c r="I50" s="110">
        <f t="shared" si="17"/>
        <v>13114703.463</v>
      </c>
      <c r="J50" s="110">
        <f t="shared" si="17"/>
        <v>2062331.157</v>
      </c>
      <c r="K50" s="110">
        <f t="shared" si="17"/>
        <v>3479026.223</v>
      </c>
      <c r="L50" s="110">
        <f t="shared" si="17"/>
        <v>2237900.848</v>
      </c>
      <c r="M50" s="110">
        <f t="shared" si="17"/>
        <v>4035223.674</v>
      </c>
      <c r="N50" s="110">
        <f t="shared" si="17"/>
        <v>2624875.286</v>
      </c>
      <c r="O50" s="110">
        <f aca="true" t="shared" si="18" ref="O50:Z50">SUM(O44:O49)</f>
        <v>2001789.461</v>
      </c>
      <c r="P50" s="110">
        <f t="shared" si="18"/>
        <v>4510201.873</v>
      </c>
      <c r="Q50" s="110">
        <f t="shared" si="18"/>
        <v>2374410.8049999997</v>
      </c>
      <c r="R50" s="110">
        <f t="shared" si="18"/>
        <v>1211671.2950000002</v>
      </c>
      <c r="S50" s="110">
        <f t="shared" si="18"/>
        <v>1329289.4090000002</v>
      </c>
      <c r="T50" s="110">
        <f>SUM(T44:T49)</f>
        <v>1787689.584</v>
      </c>
      <c r="U50" s="110">
        <f t="shared" si="18"/>
        <v>1444164.349</v>
      </c>
      <c r="V50" s="110">
        <f>SUM(V44:V49)</f>
        <v>1428821.939</v>
      </c>
      <c r="W50" s="110">
        <f t="shared" si="18"/>
        <v>638604.401</v>
      </c>
      <c r="X50" s="110">
        <f>SUM(X44:X49)</f>
        <v>3579005.3869999996</v>
      </c>
      <c r="Y50" s="110">
        <f>SUM(Y44:Y49)</f>
        <v>2721052.091</v>
      </c>
      <c r="Z50" s="110">
        <f t="shared" si="18"/>
        <v>716762.133</v>
      </c>
      <c r="AA50" s="110">
        <f aca="true" t="shared" si="19" ref="AA50:BO50">SUM(AA44:AA49)</f>
        <v>2812860.534</v>
      </c>
      <c r="AB50" s="110">
        <f t="shared" si="19"/>
        <v>527850.235</v>
      </c>
      <c r="AC50" s="110">
        <f t="shared" si="19"/>
        <v>503527.29799999995</v>
      </c>
      <c r="AD50" s="110">
        <f t="shared" si="19"/>
        <v>411032.137</v>
      </c>
      <c r="AE50" s="110">
        <f t="shared" si="19"/>
        <v>360629.32300000003</v>
      </c>
      <c r="AF50" s="110">
        <f t="shared" si="19"/>
        <v>5791971.304</v>
      </c>
      <c r="AG50" s="110">
        <f t="shared" si="19"/>
        <v>1612651.7179999999</v>
      </c>
      <c r="AH50" s="110">
        <f t="shared" si="19"/>
        <v>689445.894</v>
      </c>
      <c r="AI50" s="110">
        <f t="shared" si="19"/>
        <v>2353866</v>
      </c>
      <c r="AJ50" s="110">
        <f t="shared" si="19"/>
        <v>398771.784</v>
      </c>
      <c r="AK50" s="110">
        <f t="shared" si="19"/>
        <v>424960.89</v>
      </c>
      <c r="AL50" s="110">
        <f t="shared" si="19"/>
        <v>140225.564</v>
      </c>
      <c r="AM50" s="110">
        <f t="shared" si="19"/>
        <v>596473.695</v>
      </c>
      <c r="AN50" s="110">
        <f t="shared" si="19"/>
        <v>769771.3500000001</v>
      </c>
      <c r="AO50" s="110">
        <f t="shared" si="19"/>
        <v>213185.532</v>
      </c>
      <c r="AP50" s="110">
        <f t="shared" si="19"/>
        <v>206181.25900000002</v>
      </c>
      <c r="AQ50" s="110">
        <f t="shared" si="19"/>
        <v>195482.85600000003</v>
      </c>
      <c r="AR50" s="110">
        <f t="shared" si="19"/>
        <v>492209.61999999994</v>
      </c>
      <c r="AS50" s="110">
        <f t="shared" si="19"/>
        <v>116113.428</v>
      </c>
      <c r="AT50" s="110">
        <f t="shared" si="19"/>
        <v>358546.33400000003</v>
      </c>
      <c r="AU50" s="110">
        <f t="shared" si="19"/>
        <v>99254.85600000001</v>
      </c>
      <c r="AV50" s="110">
        <f t="shared" si="19"/>
        <v>115826.181</v>
      </c>
      <c r="AW50" s="110">
        <f t="shared" si="19"/>
        <v>269064.554</v>
      </c>
      <c r="AX50" s="110">
        <f t="shared" si="19"/>
        <v>164962.416</v>
      </c>
      <c r="AY50" s="110">
        <f t="shared" si="19"/>
        <v>476801.846</v>
      </c>
      <c r="AZ50" s="110">
        <f t="shared" si="19"/>
        <v>173927.675</v>
      </c>
      <c r="BA50" s="110">
        <f t="shared" si="19"/>
        <v>185121.09100000001</v>
      </c>
      <c r="BB50" s="110">
        <f t="shared" si="19"/>
        <v>16839.121</v>
      </c>
      <c r="BC50" s="110">
        <f t="shared" si="19"/>
        <v>57214.096</v>
      </c>
      <c r="BD50" s="110">
        <f t="shared" si="19"/>
        <v>32050</v>
      </c>
      <c r="BE50" s="110">
        <f t="shared" si="19"/>
        <v>0</v>
      </c>
      <c r="BF50" s="110">
        <f t="shared" si="19"/>
        <v>22541.720999999998</v>
      </c>
      <c r="BG50" s="110">
        <f t="shared" si="19"/>
        <v>4952.6</v>
      </c>
      <c r="BH50" s="110">
        <f t="shared" si="19"/>
        <v>17090.764000000003</v>
      </c>
      <c r="BI50" s="110">
        <f t="shared" si="19"/>
        <v>2300</v>
      </c>
      <c r="BJ50" s="110">
        <f t="shared" si="19"/>
        <v>15368.975</v>
      </c>
      <c r="BK50" s="110">
        <f t="shared" si="19"/>
        <v>17000</v>
      </c>
      <c r="BL50" s="110">
        <f t="shared" si="19"/>
        <v>0</v>
      </c>
      <c r="BM50" s="110">
        <f t="shared" si="19"/>
        <v>0</v>
      </c>
      <c r="BN50" s="110">
        <f t="shared" si="19"/>
        <v>3588.82</v>
      </c>
      <c r="BO50" s="110">
        <f t="shared" si="19"/>
        <v>0</v>
      </c>
      <c r="BP50" s="110"/>
      <c r="BQ50" s="110"/>
      <c r="BR50" s="110"/>
      <c r="BS50" s="114">
        <f t="shared" si="6"/>
        <v>127232925.62099998</v>
      </c>
      <c r="BT50" s="114">
        <f t="shared" si="2"/>
        <v>12288982.899</v>
      </c>
      <c r="BU50" s="114">
        <f t="shared" si="3"/>
        <v>47472084.091000006</v>
      </c>
      <c r="BV50" s="114">
        <f t="shared" si="4"/>
        <v>52427256.70100001</v>
      </c>
      <c r="BW50" s="114">
        <f t="shared" si="16"/>
        <v>112188323.69100001</v>
      </c>
      <c r="BX50" s="114">
        <f t="shared" si="5"/>
        <v>15044601.93</v>
      </c>
      <c r="BY50" s="114"/>
      <c r="BZ50" s="114">
        <f t="shared" si="1"/>
        <v>127232925.62100002</v>
      </c>
    </row>
    <row r="51" spans="1:78" ht="18" customHeight="1">
      <c r="A51" s="47"/>
      <c r="B51" s="12"/>
      <c r="C51" s="12"/>
      <c r="D51" s="12"/>
      <c r="E51" s="12"/>
      <c r="F51" s="13"/>
      <c r="G51" s="12"/>
      <c r="H51" s="12"/>
      <c r="I51" s="13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3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2"/>
      <c r="AH51" s="12"/>
      <c r="AI51" s="12"/>
      <c r="AJ51" s="12"/>
      <c r="AK51" s="13"/>
      <c r="AL51" s="12"/>
      <c r="AM51" s="12"/>
      <c r="AN51" s="12"/>
      <c r="AO51" s="12"/>
      <c r="AP51" s="12"/>
      <c r="AQ51" s="13"/>
      <c r="AR51" s="12"/>
      <c r="AS51" s="12"/>
      <c r="AT51" s="12"/>
      <c r="AU51" s="12"/>
      <c r="AV51" s="12"/>
      <c r="AW51" s="13"/>
      <c r="AX51" s="12"/>
      <c r="AY51" s="12"/>
      <c r="AZ51" s="12"/>
      <c r="BA51" s="12"/>
      <c r="BB51" s="12"/>
      <c r="BC51" s="12"/>
      <c r="BD51" s="12"/>
      <c r="BE51" s="12"/>
      <c r="BF51" s="12"/>
      <c r="BG51" s="13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14"/>
      <c r="BT51" s="114"/>
      <c r="BU51" s="114"/>
      <c r="BV51" s="114"/>
      <c r="BW51" s="114"/>
      <c r="BX51" s="114"/>
      <c r="BY51" s="114"/>
      <c r="BZ51" s="114"/>
    </row>
    <row r="52" spans="1:78" ht="12.75">
      <c r="A52" s="49" t="s">
        <v>423</v>
      </c>
      <c r="B52" s="110">
        <f aca="true" t="shared" si="20" ref="B52:AJ52">B41-B50</f>
        <v>78079.8639999982</v>
      </c>
      <c r="C52" s="110">
        <f>C41-C50</f>
        <v>147224.6259999983</v>
      </c>
      <c r="D52" s="110">
        <f t="shared" si="20"/>
        <v>1065892.7210000008</v>
      </c>
      <c r="E52" s="110">
        <f>E41-E50</f>
        <v>264354.6160000013</v>
      </c>
      <c r="F52" s="110">
        <f>F41-F50</f>
        <v>50482.57699999958</v>
      </c>
      <c r="G52" s="110">
        <f>G41-G50</f>
        <v>82891.52000000048</v>
      </c>
      <c r="H52" s="110">
        <f t="shared" si="20"/>
        <v>-22163.040000000037</v>
      </c>
      <c r="I52" s="110">
        <f>I41-I50</f>
        <v>379477.08900000155</v>
      </c>
      <c r="J52" s="110">
        <f t="shared" si="20"/>
        <v>-34410.15599999926</v>
      </c>
      <c r="K52" s="110">
        <f>K41-K50</f>
        <v>23498.970999999437</v>
      </c>
      <c r="L52" s="110">
        <f t="shared" si="20"/>
        <v>-21815.653000000864</v>
      </c>
      <c r="M52" s="110">
        <f t="shared" si="20"/>
        <v>17012.555999999866</v>
      </c>
      <c r="N52" s="110">
        <f t="shared" si="20"/>
        <v>-3579.5749999997206</v>
      </c>
      <c r="O52" s="110">
        <f t="shared" si="20"/>
        <v>88520.51200000034</v>
      </c>
      <c r="P52" s="110">
        <f t="shared" si="20"/>
        <v>-1554.2620000001043</v>
      </c>
      <c r="Q52" s="110">
        <f t="shared" si="20"/>
        <v>-33733.88699999964</v>
      </c>
      <c r="R52" s="110">
        <f t="shared" si="20"/>
        <v>65585.66099999961</v>
      </c>
      <c r="S52" s="110">
        <f t="shared" si="20"/>
        <v>28994.513000000035</v>
      </c>
      <c r="T52" s="110">
        <f>T41-T50</f>
        <v>44737.377000000095</v>
      </c>
      <c r="U52" s="110">
        <f t="shared" si="20"/>
        <v>-15028.918999999762</v>
      </c>
      <c r="V52" s="110">
        <f>V41-V50</f>
        <v>23033.42600000021</v>
      </c>
      <c r="W52" s="110">
        <f t="shared" si="20"/>
        <v>1462.73600000015</v>
      </c>
      <c r="X52" s="110">
        <f>X41-X50</f>
        <v>-16256.836000000127</v>
      </c>
      <c r="Y52" s="110">
        <f>Y41-Y50</f>
        <v>-9077.547000000253</v>
      </c>
      <c r="Z52" s="110">
        <f t="shared" si="20"/>
        <v>9095.088000000105</v>
      </c>
      <c r="AA52" s="110">
        <f>AA41-AA50</f>
        <v>10785.259000000078</v>
      </c>
      <c r="AB52" s="110">
        <f t="shared" si="20"/>
        <v>0</v>
      </c>
      <c r="AC52" s="110">
        <f t="shared" si="20"/>
        <v>-46981.75299999997</v>
      </c>
      <c r="AD52" s="110">
        <f t="shared" si="20"/>
        <v>-15134.945000000007</v>
      </c>
      <c r="AE52" s="110">
        <f t="shared" si="20"/>
        <v>14254.382999999914</v>
      </c>
      <c r="AF52" s="110">
        <f>AF41-AF50</f>
        <v>77056.11100000143</v>
      </c>
      <c r="AG52" s="110">
        <f t="shared" si="20"/>
        <v>17621.693000000203</v>
      </c>
      <c r="AH52" s="110">
        <f>AH41-AH50</f>
        <v>5891.055999999982</v>
      </c>
      <c r="AI52" s="110">
        <f>AI41-AI50</f>
        <v>7595</v>
      </c>
      <c r="AJ52" s="110">
        <f t="shared" si="20"/>
        <v>1249.0280000000494</v>
      </c>
      <c r="AK52" s="110">
        <f aca="true" t="shared" si="21" ref="AK52:AP52">AK41-AK50</f>
        <v>-21225.89399999997</v>
      </c>
      <c r="AL52" s="110">
        <f t="shared" si="21"/>
        <v>67725.435</v>
      </c>
      <c r="AM52" s="110">
        <f t="shared" si="21"/>
        <v>9027.36499999999</v>
      </c>
      <c r="AN52" s="110">
        <f t="shared" si="21"/>
        <v>3753.4079999999376</v>
      </c>
      <c r="AO52" s="110">
        <f>AO41-AO50</f>
        <v>83098.47999999998</v>
      </c>
      <c r="AP52" s="110">
        <f t="shared" si="21"/>
        <v>-1295.5690000000468</v>
      </c>
      <c r="AQ52" s="110">
        <f aca="true" t="shared" si="22" ref="AQ52:BO52">AQ41-AQ50</f>
        <v>8102.02899999998</v>
      </c>
      <c r="AR52" s="110">
        <f t="shared" si="22"/>
        <v>-2130.4229999999516</v>
      </c>
      <c r="AS52" s="110">
        <f t="shared" si="22"/>
        <v>1781.1549999999843</v>
      </c>
      <c r="AT52" s="110">
        <f t="shared" si="22"/>
        <v>-1658.5740000000224</v>
      </c>
      <c r="AU52" s="110">
        <f t="shared" si="22"/>
        <v>6652.048999999955</v>
      </c>
      <c r="AV52" s="110">
        <f t="shared" si="22"/>
        <v>786.8570000000036</v>
      </c>
      <c r="AW52" s="110">
        <f t="shared" si="22"/>
        <v>377.5559999999823</v>
      </c>
      <c r="AX52" s="110">
        <f t="shared" si="22"/>
        <v>-4426.206999999995</v>
      </c>
      <c r="AY52" s="110">
        <f t="shared" si="22"/>
        <v>11068.359999999928</v>
      </c>
      <c r="AZ52" s="110">
        <f t="shared" si="22"/>
        <v>-1287.4049999999697</v>
      </c>
      <c r="BA52" s="110">
        <f t="shared" si="22"/>
        <v>-430.71099999998114</v>
      </c>
      <c r="BB52" s="110">
        <f t="shared" si="22"/>
        <v>-3223.92300000001</v>
      </c>
      <c r="BC52" s="110">
        <f t="shared" si="22"/>
        <v>-19194.384999999987</v>
      </c>
      <c r="BD52" s="110">
        <f t="shared" si="22"/>
        <v>17787.350999999995</v>
      </c>
      <c r="BE52" s="110">
        <f t="shared" si="22"/>
        <v>2215.0199999999895</v>
      </c>
      <c r="BF52" s="110">
        <f t="shared" si="22"/>
        <v>-869.9589999999989</v>
      </c>
      <c r="BG52" s="110">
        <f t="shared" si="22"/>
        <v>11240.291999999992</v>
      </c>
      <c r="BH52" s="110">
        <f t="shared" si="22"/>
        <v>-179.61900000000242</v>
      </c>
      <c r="BI52" s="110">
        <f t="shared" si="22"/>
        <v>578.5919999999969</v>
      </c>
      <c r="BJ52" s="110">
        <f t="shared" si="22"/>
        <v>-2718.4469999999947</v>
      </c>
      <c r="BK52" s="110">
        <f t="shared" si="22"/>
        <v>6743.889999999999</v>
      </c>
      <c r="BL52" s="110">
        <f t="shared" si="22"/>
        <v>106.77800000000025</v>
      </c>
      <c r="BM52" s="110">
        <f t="shared" si="22"/>
        <v>-460.87800000000016</v>
      </c>
      <c r="BN52" s="110">
        <f t="shared" si="22"/>
        <v>-15098.845000000008</v>
      </c>
      <c r="BO52" s="110">
        <f t="shared" si="22"/>
        <v>-1787.127000000004</v>
      </c>
      <c r="BP52" s="110"/>
      <c r="BQ52" s="110"/>
      <c r="BR52" s="110"/>
      <c r="BS52" s="114">
        <f t="shared" si="6"/>
        <v>2440116.4610000015</v>
      </c>
      <c r="BT52" s="114">
        <f t="shared" si="2"/>
        <v>1203079.8400000008</v>
      </c>
      <c r="BU52" s="114">
        <f t="shared" si="3"/>
        <v>334655.5079999976</v>
      </c>
      <c r="BV52" s="114">
        <f t="shared" si="4"/>
        <v>782001.8360000015</v>
      </c>
      <c r="BW52" s="114">
        <f t="shared" si="16"/>
        <v>2319737.184</v>
      </c>
      <c r="BX52" s="114">
        <f t="shared" si="5"/>
        <v>120379.27700000137</v>
      </c>
      <c r="BY52" s="114"/>
      <c r="BZ52" s="114">
        <f t="shared" si="1"/>
        <v>2440116.461000001</v>
      </c>
    </row>
    <row r="53" spans="1:78" ht="12.75">
      <c r="A53" s="49"/>
      <c r="B53" s="12"/>
      <c r="C53" s="12"/>
      <c r="D53" s="12"/>
      <c r="E53" s="12"/>
      <c r="F53" s="12"/>
      <c r="G53" s="12"/>
      <c r="H53" s="12"/>
      <c r="I53" s="13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12"/>
      <c r="U53" s="13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3"/>
      <c r="AG53" s="12"/>
      <c r="AH53" s="12"/>
      <c r="AI53" s="12"/>
      <c r="AJ53" s="12"/>
      <c r="AK53" s="13"/>
      <c r="AL53" s="12"/>
      <c r="AM53" s="12"/>
      <c r="AN53" s="12"/>
      <c r="AO53" s="12"/>
      <c r="AP53" s="12"/>
      <c r="AQ53" s="13"/>
      <c r="AR53" s="12"/>
      <c r="AS53" s="12"/>
      <c r="AT53" s="12"/>
      <c r="AU53" s="12"/>
      <c r="AV53" s="12"/>
      <c r="AW53" s="13"/>
      <c r="AX53" s="12"/>
      <c r="AY53" s="12"/>
      <c r="AZ53" s="12"/>
      <c r="BA53" s="12"/>
      <c r="BB53" s="12"/>
      <c r="BC53" s="12"/>
      <c r="BD53" s="12"/>
      <c r="BE53" s="12"/>
      <c r="BF53" s="12"/>
      <c r="BG53" s="13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14"/>
      <c r="BT53" s="114"/>
      <c r="BU53" s="114"/>
      <c r="BV53" s="114"/>
      <c r="BW53" s="114"/>
      <c r="BX53" s="114"/>
      <c r="BY53" s="114"/>
      <c r="BZ53" s="114"/>
    </row>
    <row r="54" spans="1:78" ht="17.25" customHeight="1">
      <c r="A54" s="49" t="s">
        <v>424</v>
      </c>
      <c r="B54" s="12">
        <v>470229.569</v>
      </c>
      <c r="C54" s="12">
        <v>84233.07</v>
      </c>
      <c r="D54" s="12">
        <v>116366.93</v>
      </c>
      <c r="E54" s="12">
        <v>200887.68</v>
      </c>
      <c r="F54" s="12">
        <v>140626.559</v>
      </c>
      <c r="G54" s="12">
        <v>15931.978</v>
      </c>
      <c r="H54" s="12">
        <v>72617.241</v>
      </c>
      <c r="I54" s="12">
        <v>765815.038</v>
      </c>
      <c r="J54" s="12">
        <v>130445.356</v>
      </c>
      <c r="K54" s="12">
        <v>57773.286</v>
      </c>
      <c r="L54" s="12">
        <v>86643.687</v>
      </c>
      <c r="M54" s="12">
        <v>37955.339</v>
      </c>
      <c r="N54" s="12">
        <v>8228.393</v>
      </c>
      <c r="O54" s="12">
        <v>47678.429</v>
      </c>
      <c r="P54" s="12">
        <v>68313.99</v>
      </c>
      <c r="Q54" s="12">
        <v>45262.153</v>
      </c>
      <c r="R54" s="12">
        <v>187558.679</v>
      </c>
      <c r="S54" s="12">
        <v>199009.615</v>
      </c>
      <c r="T54" s="12">
        <v>48285.009</v>
      </c>
      <c r="U54" s="12">
        <v>52285.396</v>
      </c>
      <c r="V54" s="12">
        <v>13255.621</v>
      </c>
      <c r="W54" s="12">
        <v>38138.251</v>
      </c>
      <c r="X54" s="12">
        <v>19952.924</v>
      </c>
      <c r="Y54" s="12">
        <v>27523.944</v>
      </c>
      <c r="Z54" s="12">
        <v>9926.37</v>
      </c>
      <c r="AA54" s="12">
        <v>134344.243</v>
      </c>
      <c r="AB54" s="12"/>
      <c r="AC54" s="12">
        <v>644162.598</v>
      </c>
      <c r="AD54" s="12">
        <v>36462.848</v>
      </c>
      <c r="AE54" s="12">
        <v>6896.695</v>
      </c>
      <c r="AF54" s="12">
        <v>973.258</v>
      </c>
      <c r="AG54" s="12">
        <v>18329.51</v>
      </c>
      <c r="AH54" s="12">
        <v>4593.014</v>
      </c>
      <c r="AI54" s="12">
        <v>4686</v>
      </c>
      <c r="AJ54" s="12">
        <v>2220.04</v>
      </c>
      <c r="AK54" s="12">
        <v>53782.286</v>
      </c>
      <c r="AL54" s="12">
        <v>93688.532</v>
      </c>
      <c r="AM54" s="12">
        <v>3586.035</v>
      </c>
      <c r="AN54" s="12">
        <v>7771.77</v>
      </c>
      <c r="AO54" s="12">
        <v>11178.487</v>
      </c>
      <c r="AP54" s="12">
        <v>4288.653</v>
      </c>
      <c r="AQ54" s="12">
        <v>3914.105</v>
      </c>
      <c r="AR54" s="12">
        <v>3812.317</v>
      </c>
      <c r="AS54" s="12">
        <v>4930.655</v>
      </c>
      <c r="AT54" s="12">
        <v>2199.541</v>
      </c>
      <c r="AU54" s="12">
        <v>8088.152</v>
      </c>
      <c r="AV54" s="12">
        <v>452.49</v>
      </c>
      <c r="AW54" s="12">
        <v>670.165</v>
      </c>
      <c r="AX54" s="12">
        <v>5855.232</v>
      </c>
      <c r="AY54" s="12">
        <v>15322.362</v>
      </c>
      <c r="AZ54" s="12">
        <v>2088.773</v>
      </c>
      <c r="BA54" s="12">
        <v>1059.924</v>
      </c>
      <c r="BB54" s="12">
        <v>14683.007</v>
      </c>
      <c r="BC54" s="12">
        <v>69988.158</v>
      </c>
      <c r="BD54" s="12">
        <v>11316.351</v>
      </c>
      <c r="BE54" s="12">
        <v>47976.355</v>
      </c>
      <c r="BF54" s="12">
        <v>5161.777</v>
      </c>
      <c r="BG54" s="12">
        <v>29453.674</v>
      </c>
      <c r="BH54" s="12">
        <v>1172.829</v>
      </c>
      <c r="BI54" s="12">
        <v>2362.429</v>
      </c>
      <c r="BJ54" s="12">
        <v>47148.994</v>
      </c>
      <c r="BK54" s="12">
        <v>0</v>
      </c>
      <c r="BL54" s="12">
        <v>1493.556</v>
      </c>
      <c r="BM54" s="12">
        <v>796.589</v>
      </c>
      <c r="BN54" s="12">
        <v>38778.859</v>
      </c>
      <c r="BO54" s="12">
        <v>7849.652</v>
      </c>
      <c r="BP54" s="12"/>
      <c r="BQ54" s="12"/>
      <c r="BR54" s="12"/>
      <c r="BS54" s="114">
        <f t="shared" si="6"/>
        <v>4298484.421999999</v>
      </c>
      <c r="BT54" s="114">
        <f t="shared" si="2"/>
        <v>588556.9650000001</v>
      </c>
      <c r="BU54" s="114">
        <f t="shared" si="3"/>
        <v>871508.071</v>
      </c>
      <c r="BV54" s="114">
        <f t="shared" si="4"/>
        <v>2738592.793</v>
      </c>
      <c r="BW54" s="114">
        <f t="shared" si="16"/>
        <v>4198657.829</v>
      </c>
      <c r="BX54" s="114">
        <f t="shared" si="5"/>
        <v>99826.59299999998</v>
      </c>
      <c r="BY54" s="114"/>
      <c r="BZ54" s="114">
        <f t="shared" si="1"/>
        <v>4298484.422</v>
      </c>
    </row>
    <row r="55" spans="1:78" ht="12.75">
      <c r="A55" s="129"/>
      <c r="B55" s="12"/>
      <c r="C55" s="10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14"/>
      <c r="BT55" s="114"/>
      <c r="BU55" s="114"/>
      <c r="BV55" s="114"/>
      <c r="BW55" s="114"/>
      <c r="BX55" s="114"/>
      <c r="BY55" s="114"/>
      <c r="BZ55" s="114"/>
    </row>
    <row r="56" spans="1:78" ht="17.25" customHeight="1">
      <c r="A56" s="129" t="s">
        <v>425</v>
      </c>
      <c r="B56" s="110">
        <f aca="true" t="shared" si="23" ref="B56:N56">B52+B54</f>
        <v>548309.4329999982</v>
      </c>
      <c r="C56" s="110">
        <f t="shared" si="23"/>
        <v>231457.6959999983</v>
      </c>
      <c r="D56" s="110">
        <f t="shared" si="23"/>
        <v>1182259.6510000008</v>
      </c>
      <c r="E56" s="110">
        <f t="shared" si="23"/>
        <v>465242.2960000013</v>
      </c>
      <c r="F56" s="110">
        <f t="shared" si="23"/>
        <v>191109.1359999996</v>
      </c>
      <c r="G56" s="110">
        <f t="shared" si="23"/>
        <v>98823.49800000049</v>
      </c>
      <c r="H56" s="110">
        <f t="shared" si="23"/>
        <v>50454.20099999996</v>
      </c>
      <c r="I56" s="110">
        <f t="shared" si="23"/>
        <v>1145292.1270000015</v>
      </c>
      <c r="J56" s="110">
        <f t="shared" si="23"/>
        <v>96035.20000000074</v>
      </c>
      <c r="K56" s="110">
        <f t="shared" si="23"/>
        <v>81272.25699999943</v>
      </c>
      <c r="L56" s="110">
        <f t="shared" si="23"/>
        <v>64828.03399999914</v>
      </c>
      <c r="M56" s="110">
        <f t="shared" si="23"/>
        <v>54967.894999999866</v>
      </c>
      <c r="N56" s="110">
        <f t="shared" si="23"/>
        <v>4648.818000000279</v>
      </c>
      <c r="O56" s="110">
        <f aca="true" t="shared" si="24" ref="O56:Z56">O52+O54</f>
        <v>136198.94100000034</v>
      </c>
      <c r="P56" s="110">
        <f t="shared" si="24"/>
        <v>66759.7279999999</v>
      </c>
      <c r="Q56" s="110">
        <f t="shared" si="24"/>
        <v>11528.26600000036</v>
      </c>
      <c r="R56" s="110">
        <f t="shared" si="24"/>
        <v>253144.33999999962</v>
      </c>
      <c r="S56" s="110">
        <f t="shared" si="24"/>
        <v>228004.12800000003</v>
      </c>
      <c r="T56" s="110">
        <f>T52+T54</f>
        <v>93022.38600000009</v>
      </c>
      <c r="U56" s="110">
        <f t="shared" si="24"/>
        <v>37256.47700000024</v>
      </c>
      <c r="V56" s="110">
        <f>V52+V54</f>
        <v>36289.04700000021</v>
      </c>
      <c r="W56" s="110">
        <f t="shared" si="24"/>
        <v>39600.98700000015</v>
      </c>
      <c r="X56" s="110">
        <f>X52+X54</f>
        <v>3696.0879999998724</v>
      </c>
      <c r="Y56" s="110">
        <f>Y52+Y54</f>
        <v>18446.396999999746</v>
      </c>
      <c r="Z56" s="110">
        <f t="shared" si="24"/>
        <v>19021.458000000108</v>
      </c>
      <c r="AA56" s="110">
        <f aca="true" t="shared" si="25" ref="AA56:BO56">AA52+AA54</f>
        <v>145129.50200000007</v>
      </c>
      <c r="AB56" s="110">
        <f t="shared" si="25"/>
        <v>0</v>
      </c>
      <c r="AC56" s="110">
        <f t="shared" si="25"/>
        <v>597180.845</v>
      </c>
      <c r="AD56" s="110">
        <f t="shared" si="25"/>
        <v>21327.90299999999</v>
      </c>
      <c r="AE56" s="110">
        <f t="shared" si="25"/>
        <v>21151.077999999914</v>
      </c>
      <c r="AF56" s="110">
        <f t="shared" si="25"/>
        <v>78029.36900000143</v>
      </c>
      <c r="AG56" s="110">
        <f t="shared" si="25"/>
        <v>35951.2030000002</v>
      </c>
      <c r="AH56" s="110">
        <f t="shared" si="25"/>
        <v>10484.069999999982</v>
      </c>
      <c r="AI56" s="110">
        <f t="shared" si="25"/>
        <v>12281</v>
      </c>
      <c r="AJ56" s="110">
        <f t="shared" si="25"/>
        <v>3469.0680000000493</v>
      </c>
      <c r="AK56" s="110">
        <f t="shared" si="25"/>
        <v>32556.39200000003</v>
      </c>
      <c r="AL56" s="110">
        <f t="shared" si="25"/>
        <v>161413.967</v>
      </c>
      <c r="AM56" s="110">
        <f t="shared" si="25"/>
        <v>12613.39999999999</v>
      </c>
      <c r="AN56" s="110">
        <f t="shared" si="25"/>
        <v>11525.177999999938</v>
      </c>
      <c r="AO56" s="110">
        <f t="shared" si="25"/>
        <v>94276.96699999998</v>
      </c>
      <c r="AP56" s="110">
        <f t="shared" si="25"/>
        <v>2993.0839999999534</v>
      </c>
      <c r="AQ56" s="110">
        <f t="shared" si="25"/>
        <v>12016.13399999998</v>
      </c>
      <c r="AR56" s="110">
        <f t="shared" si="25"/>
        <v>1681.8940000000484</v>
      </c>
      <c r="AS56" s="110">
        <f t="shared" si="25"/>
        <v>6711.809999999984</v>
      </c>
      <c r="AT56" s="110">
        <f t="shared" si="25"/>
        <v>540.9669999999778</v>
      </c>
      <c r="AU56" s="110">
        <f t="shared" si="25"/>
        <v>14740.200999999955</v>
      </c>
      <c r="AV56" s="110">
        <f t="shared" si="25"/>
        <v>1239.3470000000036</v>
      </c>
      <c r="AW56" s="110">
        <f t="shared" si="25"/>
        <v>1047.7209999999823</v>
      </c>
      <c r="AX56" s="110">
        <f t="shared" si="25"/>
        <v>1429.025000000005</v>
      </c>
      <c r="AY56" s="110">
        <f t="shared" si="25"/>
        <v>26390.72199999993</v>
      </c>
      <c r="AZ56" s="110">
        <f t="shared" si="25"/>
        <v>801.3680000000304</v>
      </c>
      <c r="BA56" s="110">
        <f t="shared" si="25"/>
        <v>629.2130000000188</v>
      </c>
      <c r="BB56" s="110">
        <f t="shared" si="25"/>
        <v>11459.08399999999</v>
      </c>
      <c r="BC56" s="110">
        <f t="shared" si="25"/>
        <v>50793.77300000001</v>
      </c>
      <c r="BD56" s="110">
        <f t="shared" si="25"/>
        <v>29103.701999999997</v>
      </c>
      <c r="BE56" s="110">
        <f t="shared" si="25"/>
        <v>50191.37499999999</v>
      </c>
      <c r="BF56" s="110">
        <f t="shared" si="25"/>
        <v>4291.818000000001</v>
      </c>
      <c r="BG56" s="110">
        <f t="shared" si="25"/>
        <v>40693.96599999999</v>
      </c>
      <c r="BH56" s="110">
        <f t="shared" si="25"/>
        <v>993.2099999999975</v>
      </c>
      <c r="BI56" s="110">
        <f t="shared" si="25"/>
        <v>2941.020999999997</v>
      </c>
      <c r="BJ56" s="110">
        <f t="shared" si="25"/>
        <v>44430.547000000006</v>
      </c>
      <c r="BK56" s="110">
        <f t="shared" si="25"/>
        <v>6743.889999999999</v>
      </c>
      <c r="BL56" s="110">
        <f t="shared" si="25"/>
        <v>1600.3340000000003</v>
      </c>
      <c r="BM56" s="110">
        <f t="shared" si="25"/>
        <v>335.7109999999999</v>
      </c>
      <c r="BN56" s="110">
        <f t="shared" si="25"/>
        <v>23680.01399999999</v>
      </c>
      <c r="BO56" s="110">
        <f t="shared" si="25"/>
        <v>6062.524999999996</v>
      </c>
      <c r="BP56" s="110"/>
      <c r="BQ56" s="110"/>
      <c r="BR56" s="110"/>
      <c r="BS56" s="114">
        <f t="shared" si="6"/>
        <v>6738600.883000002</v>
      </c>
      <c r="BT56" s="114">
        <f t="shared" si="2"/>
        <v>1791636.8050000013</v>
      </c>
      <c r="BU56" s="114">
        <f t="shared" si="3"/>
        <v>1206163.5789999976</v>
      </c>
      <c r="BV56" s="114">
        <f t="shared" si="4"/>
        <v>3520594.629000002</v>
      </c>
      <c r="BW56" s="114">
        <f t="shared" si="16"/>
        <v>6518395.013</v>
      </c>
      <c r="BX56" s="114">
        <f t="shared" si="5"/>
        <v>220205.87000000136</v>
      </c>
      <c r="BY56" s="114"/>
      <c r="BZ56" s="114">
        <f t="shared" si="1"/>
        <v>6738600.883000001</v>
      </c>
    </row>
    <row r="57" spans="1:78" ht="12.75">
      <c r="A57" s="45"/>
      <c r="B57" s="12"/>
      <c r="C57" s="12"/>
      <c r="D57" s="12"/>
      <c r="E57" s="12"/>
      <c r="F57" s="13"/>
      <c r="G57" s="12"/>
      <c r="H57" s="12"/>
      <c r="I57" s="13"/>
      <c r="J57" s="12"/>
      <c r="K57" s="12"/>
      <c r="L57" s="12"/>
      <c r="M57" s="12"/>
      <c r="N57" s="12"/>
      <c r="O57" s="12"/>
      <c r="P57" s="12"/>
      <c r="Q57" s="12"/>
      <c r="R57" s="12"/>
      <c r="S57" s="13"/>
      <c r="T57" s="12"/>
      <c r="U57" s="13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3"/>
      <c r="AG57" s="12"/>
      <c r="AH57" s="12"/>
      <c r="AI57" s="12"/>
      <c r="AJ57" s="12"/>
      <c r="AK57" s="13"/>
      <c r="AL57" s="12"/>
      <c r="AM57" s="12"/>
      <c r="AN57" s="12"/>
      <c r="AO57" s="12"/>
      <c r="AP57" s="12"/>
      <c r="AQ57" s="13"/>
      <c r="AR57" s="12"/>
      <c r="AS57" s="12"/>
      <c r="AT57" s="12"/>
      <c r="AU57" s="12"/>
      <c r="AV57" s="12"/>
      <c r="AW57" s="13"/>
      <c r="AX57" s="12"/>
      <c r="AY57" s="12"/>
      <c r="AZ57" s="12"/>
      <c r="BA57" s="12"/>
      <c r="BB57" s="12"/>
      <c r="BC57" s="12"/>
      <c r="BD57" s="12"/>
      <c r="BE57" s="12"/>
      <c r="BF57" s="12"/>
      <c r="BG57" s="13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31"/>
      <c r="BT57" s="31"/>
      <c r="BU57" s="31"/>
      <c r="BV57" s="31"/>
      <c r="BW57" s="31"/>
      <c r="BX57" s="31"/>
      <c r="BY57" s="31"/>
      <c r="BZ57" s="31"/>
    </row>
    <row r="58" spans="1:78" ht="12.75">
      <c r="A58" s="49"/>
      <c r="B58" s="12"/>
      <c r="C58" s="12"/>
      <c r="D58" s="12"/>
      <c r="E58" s="12"/>
      <c r="F58" s="13"/>
      <c r="G58" s="12"/>
      <c r="H58" s="12"/>
      <c r="I58" s="13"/>
      <c r="J58" s="12"/>
      <c r="K58" s="12"/>
      <c r="L58" s="12"/>
      <c r="M58" s="12"/>
      <c r="N58" s="12"/>
      <c r="O58" s="12"/>
      <c r="P58" s="12"/>
      <c r="Q58" s="12"/>
      <c r="R58" s="12"/>
      <c r="S58" s="13"/>
      <c r="T58" s="12"/>
      <c r="U58" s="13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3"/>
      <c r="AG58" s="12"/>
      <c r="AH58" s="12"/>
      <c r="AI58" s="12"/>
      <c r="AJ58" s="12"/>
      <c r="AK58" s="13"/>
      <c r="AL58" s="12"/>
      <c r="AM58" s="12"/>
      <c r="AN58" s="12"/>
      <c r="AO58" s="12"/>
      <c r="AP58" s="12"/>
      <c r="AQ58" s="13"/>
      <c r="AR58" s="12"/>
      <c r="AS58" s="12"/>
      <c r="AT58" s="12"/>
      <c r="AU58" s="12"/>
      <c r="AV58" s="12"/>
      <c r="AW58" s="13"/>
      <c r="AX58" s="12"/>
      <c r="AY58" s="12"/>
      <c r="AZ58" s="12"/>
      <c r="BA58" s="12"/>
      <c r="BB58" s="12"/>
      <c r="BC58" s="12"/>
      <c r="BD58" s="12"/>
      <c r="BE58" s="12"/>
      <c r="BF58" s="12"/>
      <c r="BG58" s="13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2"/>
      <c r="BT58" s="2"/>
      <c r="BU58" s="2"/>
      <c r="BV58" s="2"/>
      <c r="BW58" s="2"/>
      <c r="BX58" s="2"/>
      <c r="BY58" s="2"/>
      <c r="BZ58" s="2"/>
    </row>
    <row r="59" spans="1:78" ht="12.75">
      <c r="A59" s="49"/>
      <c r="B59" s="12"/>
      <c r="C59" s="12"/>
      <c r="D59" s="12"/>
      <c r="E59" s="12"/>
      <c r="F59" s="31"/>
      <c r="G59" s="12"/>
      <c r="H59" s="12"/>
      <c r="I59" s="31"/>
      <c r="J59" s="12"/>
      <c r="K59" s="31"/>
      <c r="L59" s="31"/>
      <c r="M59" s="12"/>
      <c r="N59" s="31"/>
      <c r="O59" s="31"/>
      <c r="P59" s="31"/>
      <c r="Q59" s="31"/>
      <c r="R59" s="31"/>
      <c r="S59" s="31"/>
      <c r="T59" s="31"/>
      <c r="U59" s="13"/>
      <c r="V59" s="31"/>
      <c r="W59" s="31"/>
      <c r="X59" s="13"/>
      <c r="Y59" s="31"/>
      <c r="Z59" s="31"/>
      <c r="AA59" s="12"/>
      <c r="AB59" s="31"/>
      <c r="AC59" s="13"/>
      <c r="AD59" s="31"/>
      <c r="AE59" s="13"/>
      <c r="AF59" s="13"/>
      <c r="AG59" s="13"/>
      <c r="AH59" s="13"/>
      <c r="AI59" s="13"/>
      <c r="AJ59" s="13"/>
      <c r="AK59" s="13"/>
      <c r="AL59" s="13"/>
      <c r="AM59" s="13"/>
      <c r="AN59" s="31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31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31"/>
      <c r="BK59" s="13"/>
      <c r="BL59" s="13"/>
      <c r="BM59" s="31"/>
      <c r="BN59" s="31"/>
      <c r="BO59" s="13"/>
      <c r="BP59" s="13"/>
      <c r="BQ59" s="13"/>
      <c r="BR59" s="13"/>
      <c r="BS59" s="32"/>
      <c r="BT59" s="32"/>
      <c r="BU59" s="32"/>
      <c r="BV59" s="32"/>
      <c r="BW59" s="32"/>
      <c r="BX59" s="32"/>
      <c r="BY59" s="32"/>
      <c r="BZ59" s="32"/>
    </row>
    <row r="60" spans="1:78" ht="12.75">
      <c r="A60" s="49"/>
      <c r="B60" s="12"/>
      <c r="C60" s="12"/>
      <c r="D60" s="12"/>
      <c r="E60" s="12"/>
      <c r="F60" s="31"/>
      <c r="G60" s="12"/>
      <c r="H60" s="12"/>
      <c r="I60" s="31"/>
      <c r="J60" s="12"/>
      <c r="K60" s="31"/>
      <c r="L60" s="31"/>
      <c r="M60" s="12"/>
      <c r="N60" s="31"/>
      <c r="O60" s="31"/>
      <c r="P60" s="31"/>
      <c r="Q60" s="31"/>
      <c r="R60" s="31"/>
      <c r="S60" s="31"/>
      <c r="T60" s="31"/>
      <c r="U60" s="13"/>
      <c r="V60" s="31"/>
      <c r="W60" s="31"/>
      <c r="X60" s="13"/>
      <c r="Y60" s="31"/>
      <c r="Z60" s="31"/>
      <c r="AA60" s="12"/>
      <c r="AB60" s="31"/>
      <c r="AC60" s="13"/>
      <c r="AD60" s="31"/>
      <c r="AE60" s="13"/>
      <c r="AF60" s="13"/>
      <c r="AG60" s="13"/>
      <c r="AH60" s="13"/>
      <c r="AI60" s="13"/>
      <c r="AJ60" s="13"/>
      <c r="AK60" s="13"/>
      <c r="AL60" s="13"/>
      <c r="AM60" s="13"/>
      <c r="AN60" s="31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31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31"/>
      <c r="BK60" s="13"/>
      <c r="BL60" s="13"/>
      <c r="BM60" s="31"/>
      <c r="BN60" s="31"/>
      <c r="BO60" s="13"/>
      <c r="BP60" s="13"/>
      <c r="BQ60" s="13"/>
      <c r="BR60" s="13"/>
      <c r="BS60" s="32"/>
      <c r="BT60" s="32"/>
      <c r="BU60" s="32"/>
      <c r="BV60" s="32"/>
      <c r="BW60" s="32"/>
      <c r="BX60" s="32"/>
      <c r="BY60" s="32"/>
      <c r="BZ60" s="32"/>
    </row>
    <row r="61" spans="1:78" ht="12.75">
      <c r="A61" s="49"/>
      <c r="B61" s="12"/>
      <c r="C61" s="12"/>
      <c r="D61" s="12"/>
      <c r="E61" s="12"/>
      <c r="F61" s="31"/>
      <c r="G61" s="12"/>
      <c r="H61" s="12"/>
      <c r="I61" s="31"/>
      <c r="J61" s="12"/>
      <c r="K61" s="31"/>
      <c r="L61" s="31"/>
      <c r="M61" s="12"/>
      <c r="N61" s="31"/>
      <c r="O61" s="31"/>
      <c r="P61" s="31"/>
      <c r="Q61" s="31"/>
      <c r="R61" s="31"/>
      <c r="S61" s="31"/>
      <c r="T61" s="31"/>
      <c r="U61" s="13"/>
      <c r="V61" s="31"/>
      <c r="W61" s="31"/>
      <c r="X61" s="13"/>
      <c r="Y61" s="31"/>
      <c r="Z61" s="31"/>
      <c r="AA61" s="12"/>
      <c r="AB61" s="31"/>
      <c r="AC61" s="13"/>
      <c r="AD61" s="31"/>
      <c r="AE61" s="13"/>
      <c r="AF61" s="13"/>
      <c r="AG61" s="13"/>
      <c r="AH61" s="13"/>
      <c r="AI61" s="13"/>
      <c r="AJ61" s="13"/>
      <c r="AK61" s="13"/>
      <c r="AL61" s="13"/>
      <c r="AM61" s="13"/>
      <c r="AN61" s="31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31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31"/>
      <c r="BK61" s="13"/>
      <c r="BL61" s="13"/>
      <c r="BM61" s="31"/>
      <c r="BN61" s="31"/>
      <c r="BO61" s="13"/>
      <c r="BP61" s="13"/>
      <c r="BQ61" s="13"/>
      <c r="BR61" s="13"/>
      <c r="BS61" s="32"/>
      <c r="BT61" s="32"/>
      <c r="BU61" s="32"/>
      <c r="BV61" s="32"/>
      <c r="BW61" s="32"/>
      <c r="BX61" s="32"/>
      <c r="BY61" s="32"/>
      <c r="BZ61" s="32"/>
    </row>
    <row r="62" spans="1:78" ht="12.75">
      <c r="A62" s="49"/>
      <c r="B62" s="12"/>
      <c r="C62" s="12"/>
      <c r="D62" s="12"/>
      <c r="E62" s="12"/>
      <c r="F62" s="31"/>
      <c r="G62" s="12"/>
      <c r="H62" s="12"/>
      <c r="I62" s="31"/>
      <c r="J62" s="12"/>
      <c r="K62" s="31"/>
      <c r="L62" s="31"/>
      <c r="M62" s="12"/>
      <c r="N62" s="31"/>
      <c r="O62" s="31"/>
      <c r="P62" s="31"/>
      <c r="Q62" s="31"/>
      <c r="R62" s="31"/>
      <c r="S62" s="31"/>
      <c r="T62" s="31"/>
      <c r="U62" s="13"/>
      <c r="V62" s="31"/>
      <c r="W62" s="31"/>
      <c r="X62" s="13"/>
      <c r="Y62" s="31"/>
      <c r="Z62" s="31"/>
      <c r="AA62" s="12"/>
      <c r="AB62" s="31"/>
      <c r="AC62" s="13"/>
      <c r="AD62" s="31"/>
      <c r="AE62" s="13"/>
      <c r="AF62" s="13"/>
      <c r="AG62" s="13"/>
      <c r="AH62" s="13"/>
      <c r="AI62" s="13"/>
      <c r="AJ62" s="13"/>
      <c r="AK62" s="13"/>
      <c r="AL62" s="13"/>
      <c r="AM62" s="13"/>
      <c r="AN62" s="31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31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31"/>
      <c r="BK62" s="13"/>
      <c r="BL62" s="13"/>
      <c r="BM62" s="31"/>
      <c r="BN62" s="31"/>
      <c r="BO62" s="13"/>
      <c r="BP62" s="13"/>
      <c r="BQ62" s="13"/>
      <c r="BR62" s="13"/>
      <c r="BS62" s="32"/>
      <c r="BT62" s="32"/>
      <c r="BU62" s="32" t="s">
        <v>165</v>
      </c>
      <c r="BV62" s="32"/>
      <c r="BW62" s="32"/>
      <c r="BX62" s="32"/>
      <c r="BY62" s="32"/>
      <c r="BZ62" s="32"/>
    </row>
    <row r="63" spans="1:78" ht="12.75">
      <c r="A63" s="49"/>
      <c r="B63" s="12"/>
      <c r="C63" s="12"/>
      <c r="D63" s="12"/>
      <c r="E63" s="12"/>
      <c r="F63" s="31"/>
      <c r="G63" s="12"/>
      <c r="H63" s="12"/>
      <c r="I63" s="31"/>
      <c r="J63" s="12"/>
      <c r="K63" s="31"/>
      <c r="L63" s="31"/>
      <c r="M63" s="12"/>
      <c r="N63" s="31"/>
      <c r="O63" s="31"/>
      <c r="P63" s="31"/>
      <c r="Q63" s="31"/>
      <c r="R63" s="31"/>
      <c r="S63" s="31"/>
      <c r="T63" s="31"/>
      <c r="U63" s="13"/>
      <c r="V63" s="31"/>
      <c r="W63" s="31"/>
      <c r="X63" s="13"/>
      <c r="Y63" s="31"/>
      <c r="Z63" s="31"/>
      <c r="AA63" s="12"/>
      <c r="AB63" s="31"/>
      <c r="AC63" s="13"/>
      <c r="AD63" s="31"/>
      <c r="AE63" s="13"/>
      <c r="AF63" s="13"/>
      <c r="AG63" s="13"/>
      <c r="AH63" s="13"/>
      <c r="AI63" s="13"/>
      <c r="AJ63" s="13"/>
      <c r="AK63" s="13"/>
      <c r="AL63" s="13"/>
      <c r="AM63" s="13"/>
      <c r="AN63" s="31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31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31"/>
      <c r="BK63" s="13"/>
      <c r="BL63" s="13"/>
      <c r="BM63" s="31"/>
      <c r="BN63" s="31"/>
      <c r="BO63" s="13"/>
      <c r="BP63" s="13"/>
      <c r="BQ63" s="13"/>
      <c r="BR63" s="13"/>
      <c r="BS63" s="32"/>
      <c r="BT63" s="32"/>
      <c r="BU63" s="32"/>
      <c r="BV63" s="32"/>
      <c r="BW63" s="32"/>
      <c r="BX63" s="32"/>
      <c r="BY63" s="32"/>
      <c r="BZ63" s="32"/>
    </row>
    <row r="64" spans="1:78" ht="13.5">
      <c r="A64" s="48"/>
      <c r="B64" s="30"/>
      <c r="C64" s="30"/>
      <c r="D64" s="30"/>
      <c r="E64" s="30"/>
      <c r="F64" s="31"/>
      <c r="G64" s="12"/>
      <c r="H64" s="30"/>
      <c r="I64" s="31"/>
      <c r="J64" s="30"/>
      <c r="K64" s="31"/>
      <c r="L64" s="31"/>
      <c r="M64" s="30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0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2"/>
      <c r="BT64" s="32"/>
      <c r="BU64" s="32"/>
      <c r="BV64" s="32"/>
      <c r="BW64" s="32"/>
      <c r="BX64" s="32"/>
      <c r="BY64" s="32"/>
      <c r="BZ64" s="32"/>
    </row>
    <row r="65" spans="1:78" ht="13.5">
      <c r="A65" s="48"/>
      <c r="B65" s="30"/>
      <c r="C65" s="30"/>
      <c r="D65" s="30"/>
      <c r="E65" s="30"/>
      <c r="F65" s="31"/>
      <c r="G65" s="12"/>
      <c r="H65" s="30"/>
      <c r="I65" s="31"/>
      <c r="J65" s="30"/>
      <c r="K65" s="31"/>
      <c r="L65" s="31"/>
      <c r="M65" s="30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0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2"/>
      <c r="BT65" s="32"/>
      <c r="BU65" s="32"/>
      <c r="BV65" s="32"/>
      <c r="BW65" s="32"/>
      <c r="BX65" s="32"/>
      <c r="BY65" s="32"/>
      <c r="BZ65" s="32"/>
    </row>
    <row r="66" spans="1:78" ht="13.5">
      <c r="A66" s="48"/>
      <c r="B66" s="30"/>
      <c r="C66" s="30"/>
      <c r="D66" s="30"/>
      <c r="E66" s="30"/>
      <c r="F66" s="31"/>
      <c r="G66" s="12"/>
      <c r="H66" s="30"/>
      <c r="I66" s="31"/>
      <c r="J66" s="30"/>
      <c r="K66" s="31"/>
      <c r="L66" s="31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0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2"/>
      <c r="BT66" s="32"/>
      <c r="BU66" s="32"/>
      <c r="BV66" s="32"/>
      <c r="BW66" s="32"/>
      <c r="BX66" s="32"/>
      <c r="BY66" s="32"/>
      <c r="BZ66" s="32"/>
    </row>
    <row r="67" spans="1:78" ht="13.5">
      <c r="A67" s="48"/>
      <c r="B67" s="30"/>
      <c r="C67" s="30"/>
      <c r="D67" s="30"/>
      <c r="E67" s="30"/>
      <c r="F67" s="31"/>
      <c r="G67" s="12"/>
      <c r="H67" s="30"/>
      <c r="I67" s="31"/>
      <c r="J67" s="30"/>
      <c r="K67" s="31"/>
      <c r="L67" s="31"/>
      <c r="M67" s="30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0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2"/>
      <c r="BT67" s="32"/>
      <c r="BU67" s="32"/>
      <c r="BV67" s="32"/>
      <c r="BW67" s="32"/>
      <c r="BX67" s="32"/>
      <c r="BY67" s="32"/>
      <c r="BZ67" s="32"/>
    </row>
    <row r="68" spans="1:78" ht="12.75">
      <c r="A68" s="49"/>
      <c r="B68" s="12"/>
      <c r="C68" s="12"/>
      <c r="D68" s="12"/>
      <c r="E68" s="12"/>
      <c r="F68" s="31"/>
      <c r="G68" s="12"/>
      <c r="H68" s="12"/>
      <c r="I68" s="31"/>
      <c r="J68" s="12"/>
      <c r="K68" s="31"/>
      <c r="L68" s="31"/>
      <c r="M68" s="12"/>
      <c r="N68" s="31"/>
      <c r="O68" s="31"/>
      <c r="P68" s="31"/>
      <c r="Q68" s="31"/>
      <c r="R68" s="31"/>
      <c r="S68" s="31"/>
      <c r="T68" s="31"/>
      <c r="U68" s="13"/>
      <c r="V68" s="31"/>
      <c r="W68" s="31"/>
      <c r="X68" s="13"/>
      <c r="Y68" s="31"/>
      <c r="Z68" s="31"/>
      <c r="AA68" s="12"/>
      <c r="AB68" s="31"/>
      <c r="AC68" s="13"/>
      <c r="AD68" s="31"/>
      <c r="AE68" s="13"/>
      <c r="AF68" s="13"/>
      <c r="AG68" s="13"/>
      <c r="AH68" s="13"/>
      <c r="AI68" s="13"/>
      <c r="AJ68" s="13"/>
      <c r="AK68" s="13"/>
      <c r="AL68" s="13"/>
      <c r="AM68" s="13"/>
      <c r="AN68" s="31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31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31"/>
      <c r="BK68" s="13"/>
      <c r="BL68" s="13"/>
      <c r="BM68" s="31"/>
      <c r="BN68" s="31"/>
      <c r="BO68" s="13"/>
      <c r="BP68" s="13"/>
      <c r="BQ68" s="13"/>
      <c r="BR68" s="13"/>
      <c r="BS68" s="32"/>
      <c r="BT68" s="32"/>
      <c r="BU68" s="32"/>
      <c r="BV68" s="32"/>
      <c r="BW68" s="32"/>
      <c r="BX68" s="32"/>
      <c r="BY68" s="32"/>
      <c r="BZ68" s="32"/>
    </row>
    <row r="69" spans="1:78" ht="12.75">
      <c r="A69" s="49"/>
      <c r="B69" s="12"/>
      <c r="C69" s="12"/>
      <c r="D69" s="12"/>
      <c r="E69" s="12"/>
      <c r="F69" s="31"/>
      <c r="G69" s="12"/>
      <c r="H69" s="12"/>
      <c r="I69" s="31"/>
      <c r="J69" s="12"/>
      <c r="K69" s="31"/>
      <c r="L69" s="31"/>
      <c r="M69" s="12"/>
      <c r="N69" s="31"/>
      <c r="O69" s="31"/>
      <c r="P69" s="31"/>
      <c r="Q69" s="31"/>
      <c r="R69" s="31"/>
      <c r="S69" s="31"/>
      <c r="T69" s="31"/>
      <c r="U69" s="13"/>
      <c r="V69" s="31"/>
      <c r="W69" s="31"/>
      <c r="X69" s="13"/>
      <c r="Y69" s="31"/>
      <c r="Z69" s="31"/>
      <c r="AA69" s="12"/>
      <c r="AB69" s="31"/>
      <c r="AC69" s="13"/>
      <c r="AD69" s="31"/>
      <c r="AE69" s="13"/>
      <c r="AF69" s="13"/>
      <c r="AG69" s="13"/>
      <c r="AH69" s="13"/>
      <c r="AI69" s="13"/>
      <c r="AJ69" s="13"/>
      <c r="AK69" s="13"/>
      <c r="AL69" s="13"/>
      <c r="AM69" s="13"/>
      <c r="AN69" s="31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31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31"/>
      <c r="BK69" s="13"/>
      <c r="BL69" s="13"/>
      <c r="BM69" s="31"/>
      <c r="BN69" s="31"/>
      <c r="BO69" s="13"/>
      <c r="BP69" s="13"/>
      <c r="BQ69" s="13"/>
      <c r="BR69" s="13"/>
      <c r="BS69" s="32"/>
      <c r="BT69" s="32"/>
      <c r="BU69" s="32"/>
      <c r="BV69" s="32"/>
      <c r="BW69" s="32"/>
      <c r="BX69" s="32"/>
      <c r="BY69" s="32"/>
      <c r="BZ69" s="32"/>
    </row>
    <row r="70" spans="1:78" ht="12.75">
      <c r="A70" s="49"/>
      <c r="B70" s="12"/>
      <c r="C70" s="12"/>
      <c r="D70" s="12"/>
      <c r="E70" s="12"/>
      <c r="F70" s="31"/>
      <c r="G70" s="12"/>
      <c r="H70" s="12"/>
      <c r="I70" s="31"/>
      <c r="J70" s="12"/>
      <c r="K70" s="31"/>
      <c r="L70" s="31"/>
      <c r="M70" s="12"/>
      <c r="N70" s="31"/>
      <c r="O70" s="31"/>
      <c r="P70" s="31"/>
      <c r="Q70" s="31"/>
      <c r="R70" s="31"/>
      <c r="S70" s="31"/>
      <c r="T70" s="31"/>
      <c r="U70" s="13"/>
      <c r="V70" s="31"/>
      <c r="W70" s="31"/>
      <c r="X70" s="13"/>
      <c r="Y70" s="31"/>
      <c r="Z70" s="31"/>
      <c r="AA70" s="12"/>
      <c r="AB70" s="31"/>
      <c r="AC70" s="13"/>
      <c r="AD70" s="31"/>
      <c r="AE70" s="13"/>
      <c r="AF70" s="13"/>
      <c r="AG70" s="13"/>
      <c r="AH70" s="13"/>
      <c r="AI70" s="13"/>
      <c r="AJ70" s="13"/>
      <c r="AK70" s="13"/>
      <c r="AL70" s="13"/>
      <c r="AM70" s="13"/>
      <c r="AN70" s="31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31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31"/>
      <c r="BK70" s="13"/>
      <c r="BL70" s="13"/>
      <c r="BM70" s="31"/>
      <c r="BN70" s="31"/>
      <c r="BO70" s="13"/>
      <c r="BP70" s="13"/>
      <c r="BQ70" s="13"/>
      <c r="BR70" s="13"/>
      <c r="BS70" s="32"/>
      <c r="BT70" s="32"/>
      <c r="BU70" s="32"/>
      <c r="BV70" s="32"/>
      <c r="BW70" s="32"/>
      <c r="BX70" s="32"/>
      <c r="BY70" s="32"/>
      <c r="BZ70" s="32"/>
    </row>
    <row r="71" spans="1:78" ht="12.75">
      <c r="A71" s="49"/>
      <c r="B71" s="12"/>
      <c r="C71" s="12"/>
      <c r="D71" s="12"/>
      <c r="E71" s="12"/>
      <c r="F71" s="31"/>
      <c r="G71" s="12"/>
      <c r="H71" s="12"/>
      <c r="I71" s="31"/>
      <c r="J71" s="12"/>
      <c r="K71" s="31"/>
      <c r="L71" s="31"/>
      <c r="M71" s="12"/>
      <c r="N71" s="31"/>
      <c r="O71" s="31"/>
      <c r="P71" s="31"/>
      <c r="Q71" s="31"/>
      <c r="R71" s="31"/>
      <c r="S71" s="31"/>
      <c r="T71" s="31"/>
      <c r="U71" s="13"/>
      <c r="V71" s="31"/>
      <c r="W71" s="31"/>
      <c r="X71" s="13"/>
      <c r="Y71" s="31"/>
      <c r="Z71" s="31"/>
      <c r="AA71" s="12"/>
      <c r="AB71" s="31"/>
      <c r="AC71" s="13"/>
      <c r="AD71" s="31"/>
      <c r="AE71" s="13"/>
      <c r="AF71" s="13"/>
      <c r="AG71" s="13"/>
      <c r="AH71" s="13"/>
      <c r="AI71" s="13"/>
      <c r="AJ71" s="13"/>
      <c r="AK71" s="13"/>
      <c r="AL71" s="13"/>
      <c r="AM71" s="13"/>
      <c r="AN71" s="31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31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31"/>
      <c r="BK71" s="13"/>
      <c r="BL71" s="13"/>
      <c r="BM71" s="31"/>
      <c r="BN71" s="31"/>
      <c r="BO71" s="13"/>
      <c r="BP71" s="13"/>
      <c r="BQ71" s="13"/>
      <c r="BR71" s="13"/>
      <c r="BS71" s="32"/>
      <c r="BT71" s="32"/>
      <c r="BU71" s="32"/>
      <c r="BV71" s="32"/>
      <c r="BW71" s="32"/>
      <c r="BX71" s="32"/>
      <c r="BY71" s="32"/>
      <c r="BZ71" s="32"/>
    </row>
    <row r="72" spans="1:78" ht="12.75">
      <c r="A72" s="49"/>
      <c r="B72" s="12"/>
      <c r="C72" s="12"/>
      <c r="D72" s="12"/>
      <c r="E72" s="12"/>
      <c r="F72" s="31"/>
      <c r="G72" s="12"/>
      <c r="H72" s="12"/>
      <c r="I72" s="31"/>
      <c r="J72" s="12"/>
      <c r="K72" s="31"/>
      <c r="L72" s="31"/>
      <c r="M72" s="12"/>
      <c r="N72" s="31"/>
      <c r="O72" s="31"/>
      <c r="P72" s="31"/>
      <c r="Q72" s="31"/>
      <c r="R72" s="31"/>
      <c r="S72" s="31"/>
      <c r="T72" s="31"/>
      <c r="U72" s="13"/>
      <c r="V72" s="31"/>
      <c r="W72" s="31"/>
      <c r="X72" s="13"/>
      <c r="Y72" s="31"/>
      <c r="Z72" s="31"/>
      <c r="AA72" s="12"/>
      <c r="AB72" s="31"/>
      <c r="AC72" s="13"/>
      <c r="AD72" s="31"/>
      <c r="AE72" s="13"/>
      <c r="AF72" s="13"/>
      <c r="AG72" s="13"/>
      <c r="AH72" s="13"/>
      <c r="AI72" s="13"/>
      <c r="AJ72" s="13"/>
      <c r="AK72" s="13"/>
      <c r="AL72" s="13"/>
      <c r="AM72" s="13"/>
      <c r="AN72" s="31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31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31"/>
      <c r="BK72" s="13"/>
      <c r="BL72" s="13"/>
      <c r="BM72" s="31"/>
      <c r="BN72" s="31"/>
      <c r="BO72" s="13"/>
      <c r="BP72" s="13"/>
      <c r="BQ72" s="13"/>
      <c r="BR72" s="13"/>
      <c r="BS72" s="32"/>
      <c r="BT72" s="32"/>
      <c r="BU72" s="32"/>
      <c r="BV72" s="32"/>
      <c r="BW72" s="32"/>
      <c r="BX72" s="32"/>
      <c r="BY72" s="32"/>
      <c r="BZ72" s="32"/>
    </row>
  </sheetData>
  <sheetProtection/>
  <mergeCells count="1">
    <mergeCell ref="BU12:BV13"/>
  </mergeCells>
  <printOptions/>
  <pageMargins left="0.3937007874015748" right="0.3937007874015748" top="1.4173228346456694" bottom="1.5748031496062993" header="0.7086614173228347" footer="0.5118110236220472"/>
  <pageSetup horizontalDpi="300" verticalDpi="300" orientation="portrait" paperSize="9" scale="90" r:id="rId1"/>
  <headerFooter alignWithMargins="0">
    <oddHeader>&amp;C&amp;"Times New Roman,Bold"&amp;14
 3.3.   SJÓÐSTREYMI ÁRIÐ 1998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E127"/>
  <sheetViews>
    <sheetView zoomScale="90" zoomScaleNormal="90" zoomScalePageLayoutView="0" workbookViewId="0" topLeftCell="A5">
      <pane xSplit="2" ySplit="5" topLeftCell="BT10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CA18" sqref="CA18"/>
    </sheetView>
  </sheetViews>
  <sheetFormatPr defaultColWidth="9.00390625" defaultRowHeight="12.75" outlineLevelCol="1"/>
  <cols>
    <col min="1" max="1" width="18.50390625" style="46" customWidth="1"/>
    <col min="2" max="2" width="3.00390625" style="46" customWidth="1" outlineLevel="1"/>
    <col min="3" max="69" width="9.625" style="33" customWidth="1"/>
    <col min="70" max="70" width="18.625" style="33" customWidth="1"/>
    <col min="71" max="71" width="2.375" style="33" hidden="1" customWidth="1"/>
    <col min="72" max="77" width="10.375" style="33" customWidth="1"/>
    <col min="78" max="78" width="5.00390625" style="33" customWidth="1"/>
    <col min="79" max="79" width="10.25390625" style="33" customWidth="1"/>
    <col min="80" max="16384" width="9.00390625" style="33" customWidth="1"/>
  </cols>
  <sheetData>
    <row r="1" spans="1:79" ht="13.5">
      <c r="A1" s="48"/>
      <c r="B1" s="4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</row>
    <row r="2" spans="1:79" ht="13.5">
      <c r="A2" s="48"/>
      <c r="B2" s="4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</row>
    <row r="3" spans="1:79" ht="13.5">
      <c r="A3" s="48"/>
      <c r="B3" s="45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</row>
    <row r="4" spans="1:79" ht="12.75">
      <c r="A4" s="45"/>
      <c r="B4" s="4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</row>
    <row r="5" spans="1:79" ht="13.5" customHeight="1">
      <c r="A5" s="45"/>
      <c r="B5" s="45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</row>
    <row r="6" spans="1:79" s="46" customFormat="1" ht="12.75">
      <c r="A6" s="45"/>
      <c r="B6" s="45"/>
      <c r="C6" s="44" t="s">
        <v>0</v>
      </c>
      <c r="D6" s="44" t="s">
        <v>0</v>
      </c>
      <c r="E6" s="44" t="s">
        <v>0</v>
      </c>
      <c r="F6" s="44" t="s">
        <v>0</v>
      </c>
      <c r="G6" s="44" t="s">
        <v>1</v>
      </c>
      <c r="H6" s="44" t="s">
        <v>0</v>
      </c>
      <c r="I6" s="44" t="s">
        <v>2</v>
      </c>
      <c r="J6" s="44" t="s">
        <v>0</v>
      </c>
      <c r="K6" s="44" t="s">
        <v>3</v>
      </c>
      <c r="L6" s="44" t="s">
        <v>0</v>
      </c>
      <c r="M6" s="44" t="s">
        <v>0</v>
      </c>
      <c r="N6" s="44" t="s">
        <v>0</v>
      </c>
      <c r="O6" s="44" t="s">
        <v>0</v>
      </c>
      <c r="P6" s="44" t="s">
        <v>0</v>
      </c>
      <c r="Q6" s="44" t="s">
        <v>0</v>
      </c>
      <c r="R6" s="44" t="s">
        <v>0</v>
      </c>
      <c r="S6" s="132" t="s">
        <v>0</v>
      </c>
      <c r="T6" s="44" t="s">
        <v>0</v>
      </c>
      <c r="U6" s="44" t="s">
        <v>5</v>
      </c>
      <c r="V6" s="131" t="s">
        <v>0</v>
      </c>
      <c r="W6" s="44" t="s">
        <v>516</v>
      </c>
      <c r="X6" s="44" t="s">
        <v>0</v>
      </c>
      <c r="Y6" s="44" t="s">
        <v>7</v>
      </c>
      <c r="Z6" s="131" t="s">
        <v>0</v>
      </c>
      <c r="AA6" s="44" t="s">
        <v>0</v>
      </c>
      <c r="AB6" s="44" t="s">
        <v>0</v>
      </c>
      <c r="AC6" s="44" t="s">
        <v>0</v>
      </c>
      <c r="AD6" s="44" t="s">
        <v>0</v>
      </c>
      <c r="AE6" s="44" t="s">
        <v>0</v>
      </c>
      <c r="AF6" s="44" t="s">
        <v>0</v>
      </c>
      <c r="AG6" s="44" t="s">
        <v>8</v>
      </c>
      <c r="AH6" s="44" t="s">
        <v>4</v>
      </c>
      <c r="AI6" s="44" t="s">
        <v>6</v>
      </c>
      <c r="AJ6" s="44" t="s">
        <v>6</v>
      </c>
      <c r="AK6" s="44" t="s">
        <v>0</v>
      </c>
      <c r="AL6" s="44" t="s">
        <v>0</v>
      </c>
      <c r="AM6" s="44" t="s">
        <v>0</v>
      </c>
      <c r="AN6" s="44" t="s">
        <v>4</v>
      </c>
      <c r="AO6" s="44" t="s">
        <v>0</v>
      </c>
      <c r="AP6" s="44" t="s">
        <v>0</v>
      </c>
      <c r="AQ6" s="44" t="s">
        <v>0</v>
      </c>
      <c r="AR6" s="44" t="s">
        <v>4</v>
      </c>
      <c r="AS6" s="44" t="s">
        <v>0</v>
      </c>
      <c r="AT6" s="44" t="s">
        <v>0</v>
      </c>
      <c r="AU6" s="44" t="s">
        <v>0</v>
      </c>
      <c r="AV6" s="44" t="s">
        <v>0</v>
      </c>
      <c r="AW6" s="44" t="s">
        <v>0</v>
      </c>
      <c r="AX6" s="44" t="s">
        <v>4</v>
      </c>
      <c r="AY6" s="44" t="s">
        <v>4</v>
      </c>
      <c r="AZ6" s="44" t="s">
        <v>61</v>
      </c>
      <c r="BA6" s="44" t="s">
        <v>0</v>
      </c>
      <c r="BB6" s="44" t="s">
        <v>0</v>
      </c>
      <c r="BC6" s="44" t="s">
        <v>6</v>
      </c>
      <c r="BD6" s="44" t="s">
        <v>4</v>
      </c>
      <c r="BE6" s="44" t="s">
        <v>0</v>
      </c>
      <c r="BF6" s="44" t="s">
        <v>4</v>
      </c>
      <c r="BG6" s="44" t="s">
        <v>0</v>
      </c>
      <c r="BH6" s="44" t="s">
        <v>0</v>
      </c>
      <c r="BI6" s="44" t="s">
        <v>0</v>
      </c>
      <c r="BJ6" s="44" t="s">
        <v>9</v>
      </c>
      <c r="BK6" s="44" t="s">
        <v>0</v>
      </c>
      <c r="BL6" s="44" t="s">
        <v>0</v>
      </c>
      <c r="BM6" s="44" t="s">
        <v>0</v>
      </c>
      <c r="BN6" s="44" t="s">
        <v>0</v>
      </c>
      <c r="BO6" s="44" t="s">
        <v>0</v>
      </c>
      <c r="BP6" s="44" t="s">
        <v>0</v>
      </c>
      <c r="BQ6" s="44"/>
      <c r="BR6" s="44"/>
      <c r="BS6" s="44"/>
      <c r="BT6" s="44" t="s">
        <v>10</v>
      </c>
      <c r="BU6" s="138" t="s">
        <v>545</v>
      </c>
      <c r="BV6" s="226" t="s">
        <v>542</v>
      </c>
      <c r="BW6" s="226"/>
      <c r="BX6" s="44"/>
      <c r="BY6" s="44"/>
      <c r="BZ6" s="44"/>
      <c r="CA6" s="44" t="s">
        <v>354</v>
      </c>
    </row>
    <row r="7" spans="1:79" s="46" customFormat="1" ht="12.75">
      <c r="A7" s="47"/>
      <c r="B7" s="45"/>
      <c r="C7" s="44" t="s">
        <v>13</v>
      </c>
      <c r="D7" s="44" t="s">
        <v>17</v>
      </c>
      <c r="E7" s="44" t="s">
        <v>507</v>
      </c>
      <c r="F7" s="44" t="s">
        <v>14</v>
      </c>
      <c r="G7" s="44" t="s">
        <v>16</v>
      </c>
      <c r="H7" s="44" t="s">
        <v>18</v>
      </c>
      <c r="I7" s="44" t="s">
        <v>16</v>
      </c>
      <c r="J7" s="44" t="s">
        <v>551</v>
      </c>
      <c r="K7" s="44" t="s">
        <v>16</v>
      </c>
      <c r="L7" s="44" t="s">
        <v>427</v>
      </c>
      <c r="M7" s="44" t="s">
        <v>20</v>
      </c>
      <c r="N7" s="44" t="s">
        <v>19</v>
      </c>
      <c r="O7" s="44" t="s">
        <v>21</v>
      </c>
      <c r="P7" s="44" t="s">
        <v>23</v>
      </c>
      <c r="Q7" s="44" t="s">
        <v>22</v>
      </c>
      <c r="R7" s="44" t="s">
        <v>24</v>
      </c>
      <c r="S7" s="132" t="s">
        <v>565</v>
      </c>
      <c r="T7" s="44" t="s">
        <v>25</v>
      </c>
      <c r="U7" s="44" t="s">
        <v>16</v>
      </c>
      <c r="V7" s="131" t="s">
        <v>15</v>
      </c>
      <c r="W7" s="44" t="s">
        <v>53</v>
      </c>
      <c r="X7" s="44" t="s">
        <v>26</v>
      </c>
      <c r="Y7" s="44" t="s">
        <v>31</v>
      </c>
      <c r="Z7" s="131" t="s">
        <v>553</v>
      </c>
      <c r="AA7" s="44" t="s">
        <v>83</v>
      </c>
      <c r="AB7" s="44" t="s">
        <v>507</v>
      </c>
      <c r="AC7" s="44" t="s">
        <v>15</v>
      </c>
      <c r="AD7" s="44" t="s">
        <v>27</v>
      </c>
      <c r="AE7" s="44" t="s">
        <v>28</v>
      </c>
      <c r="AF7" s="44" t="s">
        <v>29</v>
      </c>
      <c r="AG7" s="44" t="s">
        <v>16</v>
      </c>
      <c r="AH7" s="44" t="s">
        <v>15</v>
      </c>
      <c r="AI7" s="44" t="s">
        <v>30</v>
      </c>
      <c r="AJ7" s="44" t="s">
        <v>30</v>
      </c>
      <c r="AK7" s="44" t="s">
        <v>32</v>
      </c>
      <c r="AL7" s="44" t="s">
        <v>33</v>
      </c>
      <c r="AM7" s="44" t="s">
        <v>34</v>
      </c>
      <c r="AN7" s="44" t="s">
        <v>35</v>
      </c>
      <c r="AO7" s="44" t="s">
        <v>36</v>
      </c>
      <c r="AP7" s="44" t="s">
        <v>38</v>
      </c>
      <c r="AQ7" s="44" t="s">
        <v>37</v>
      </c>
      <c r="AR7" s="44" t="s">
        <v>39</v>
      </c>
      <c r="AS7" s="44" t="s">
        <v>42</v>
      </c>
      <c r="AT7" s="44" t="s">
        <v>40</v>
      </c>
      <c r="AU7" s="44" t="s">
        <v>41</v>
      </c>
      <c r="AV7" s="44" t="s">
        <v>43</v>
      </c>
      <c r="AW7" s="44" t="s">
        <v>45</v>
      </c>
      <c r="AX7" s="44" t="s">
        <v>44</v>
      </c>
      <c r="AY7" s="44" t="s">
        <v>46</v>
      </c>
      <c r="AZ7" s="44" t="s">
        <v>16</v>
      </c>
      <c r="BA7" s="44" t="s">
        <v>15</v>
      </c>
      <c r="BB7" s="44" t="s">
        <v>47</v>
      </c>
      <c r="BC7" s="44" t="s">
        <v>30</v>
      </c>
      <c r="BD7" s="44" t="s">
        <v>496</v>
      </c>
      <c r="BE7" s="44" t="s">
        <v>48</v>
      </c>
      <c r="BF7" s="44" t="s">
        <v>50</v>
      </c>
      <c r="BG7" s="44" t="s">
        <v>49</v>
      </c>
      <c r="BH7" s="44" t="s">
        <v>51</v>
      </c>
      <c r="BI7" s="44" t="s">
        <v>52</v>
      </c>
      <c r="BJ7" s="44" t="s">
        <v>53</v>
      </c>
      <c r="BK7" s="44" t="s">
        <v>54</v>
      </c>
      <c r="BL7" s="44" t="s">
        <v>15</v>
      </c>
      <c r="BM7" s="44" t="s">
        <v>55</v>
      </c>
      <c r="BN7" s="44" t="s">
        <v>56</v>
      </c>
      <c r="BO7" s="44" t="s">
        <v>57</v>
      </c>
      <c r="BP7" s="44" t="s">
        <v>58</v>
      </c>
      <c r="BQ7" s="44"/>
      <c r="BR7" s="44"/>
      <c r="BS7" s="44"/>
      <c r="BT7" s="44" t="s">
        <v>59</v>
      </c>
      <c r="BU7" s="138" t="s">
        <v>546</v>
      </c>
      <c r="BV7" s="226"/>
      <c r="BW7" s="226"/>
      <c r="BX7" s="44"/>
      <c r="BY7" s="44" t="s">
        <v>61</v>
      </c>
      <c r="BZ7" s="44"/>
      <c r="CA7" s="44" t="s">
        <v>59</v>
      </c>
    </row>
    <row r="8" spans="1:79" s="46" customFormat="1" ht="12.75">
      <c r="A8" s="45"/>
      <c r="B8" s="45"/>
      <c r="C8" s="44" t="s">
        <v>62</v>
      </c>
      <c r="D8" s="44"/>
      <c r="E8" s="44" t="s">
        <v>508</v>
      </c>
      <c r="F8" s="44"/>
      <c r="G8" s="44" t="s">
        <v>30</v>
      </c>
      <c r="H8" s="44" t="s">
        <v>64</v>
      </c>
      <c r="I8" s="44" t="s">
        <v>63</v>
      </c>
      <c r="J8" s="44" t="s">
        <v>77</v>
      </c>
      <c r="K8" s="44" t="s">
        <v>30</v>
      </c>
      <c r="L8" s="44"/>
      <c r="M8" s="44" t="s">
        <v>64</v>
      </c>
      <c r="N8" s="44"/>
      <c r="O8" s="44" t="s">
        <v>65</v>
      </c>
      <c r="P8" s="44"/>
      <c r="Q8" s="44" t="s">
        <v>66</v>
      </c>
      <c r="R8" s="44" t="s">
        <v>501</v>
      </c>
      <c r="S8" s="132" t="s">
        <v>564</v>
      </c>
      <c r="T8" s="44" t="s">
        <v>64</v>
      </c>
      <c r="U8" s="44" t="s">
        <v>30</v>
      </c>
      <c r="V8" s="131" t="s">
        <v>566</v>
      </c>
      <c r="W8" s="44" t="s">
        <v>517</v>
      </c>
      <c r="X8" s="44" t="s">
        <v>346</v>
      </c>
      <c r="Y8" s="44" t="s">
        <v>73</v>
      </c>
      <c r="Z8" s="131" t="s">
        <v>554</v>
      </c>
      <c r="AA8" s="44"/>
      <c r="AB8" s="44" t="s">
        <v>509</v>
      </c>
      <c r="AC8" s="44" t="s">
        <v>69</v>
      </c>
      <c r="AD8" s="44" t="s">
        <v>68</v>
      </c>
      <c r="AE8" s="44"/>
      <c r="AF8" s="44" t="s">
        <v>70</v>
      </c>
      <c r="AG8" s="44" t="s">
        <v>85</v>
      </c>
      <c r="AH8" s="44" t="s">
        <v>71</v>
      </c>
      <c r="AI8" s="44" t="s">
        <v>72</v>
      </c>
      <c r="AJ8" s="44" t="s">
        <v>90</v>
      </c>
      <c r="AK8" s="44" t="s">
        <v>74</v>
      </c>
      <c r="AL8" s="44" t="s">
        <v>75</v>
      </c>
      <c r="AM8" s="44"/>
      <c r="AN8" s="44" t="s">
        <v>76</v>
      </c>
      <c r="AO8" s="44" t="s">
        <v>77</v>
      </c>
      <c r="AP8" s="44" t="s">
        <v>79</v>
      </c>
      <c r="AQ8" s="44" t="s">
        <v>78</v>
      </c>
      <c r="AR8" s="44" t="s">
        <v>80</v>
      </c>
      <c r="AS8" s="44" t="s">
        <v>67</v>
      </c>
      <c r="AT8" s="44" t="s">
        <v>81</v>
      </c>
      <c r="AU8" s="44" t="s">
        <v>76</v>
      </c>
      <c r="AV8" s="44" t="s">
        <v>82</v>
      </c>
      <c r="AW8" s="44" t="s">
        <v>80</v>
      </c>
      <c r="AX8" s="44" t="s">
        <v>83</v>
      </c>
      <c r="AY8" s="44" t="s">
        <v>84</v>
      </c>
      <c r="AZ8" s="44" t="s">
        <v>30</v>
      </c>
      <c r="BA8" s="44" t="s">
        <v>86</v>
      </c>
      <c r="BB8" s="44" t="s">
        <v>88</v>
      </c>
      <c r="BC8" s="44" t="s">
        <v>87</v>
      </c>
      <c r="BD8" s="44" t="s">
        <v>89</v>
      </c>
      <c r="BE8" s="44" t="s">
        <v>91</v>
      </c>
      <c r="BF8" s="44" t="s">
        <v>93</v>
      </c>
      <c r="BG8" s="44" t="s">
        <v>92</v>
      </c>
      <c r="BH8" s="44" t="s">
        <v>94</v>
      </c>
      <c r="BI8" s="44" t="s">
        <v>95</v>
      </c>
      <c r="BJ8" s="44" t="s">
        <v>96</v>
      </c>
      <c r="BK8" s="44" t="s">
        <v>97</v>
      </c>
      <c r="BL8" s="44" t="s">
        <v>555</v>
      </c>
      <c r="BM8" s="44" t="s">
        <v>98</v>
      </c>
      <c r="BN8" s="44" t="s">
        <v>99</v>
      </c>
      <c r="BO8" s="44" t="s">
        <v>62</v>
      </c>
      <c r="BP8" s="44"/>
      <c r="BQ8" s="44"/>
      <c r="BR8" s="44"/>
      <c r="BS8" s="44"/>
      <c r="BT8" s="44" t="s">
        <v>100</v>
      </c>
      <c r="BU8" s="138" t="s">
        <v>541</v>
      </c>
      <c r="BV8" s="138" t="s">
        <v>543</v>
      </c>
      <c r="BW8" s="138" t="s">
        <v>544</v>
      </c>
      <c r="BX8" s="44" t="s">
        <v>101</v>
      </c>
      <c r="BY8" s="44" t="s">
        <v>60</v>
      </c>
      <c r="BZ8" s="44"/>
      <c r="CA8" s="44" t="s">
        <v>353</v>
      </c>
    </row>
    <row r="9" spans="1:79" s="113" customFormat="1" ht="12.75">
      <c r="A9" s="126"/>
      <c r="B9" s="126"/>
      <c r="C9" s="133" t="s">
        <v>102</v>
      </c>
      <c r="D9" s="133" t="s">
        <v>103</v>
      </c>
      <c r="E9" s="133" t="s">
        <v>104</v>
      </c>
      <c r="F9" s="133" t="s">
        <v>105</v>
      </c>
      <c r="G9" s="133" t="s">
        <v>106</v>
      </c>
      <c r="H9" s="133" t="s">
        <v>107</v>
      </c>
      <c r="I9" s="133" t="s">
        <v>108</v>
      </c>
      <c r="J9" s="133" t="s">
        <v>109</v>
      </c>
      <c r="K9" s="133" t="s">
        <v>335</v>
      </c>
      <c r="L9" s="133" t="s">
        <v>336</v>
      </c>
      <c r="M9" s="133" t="s">
        <v>337</v>
      </c>
      <c r="N9" s="133" t="s">
        <v>110</v>
      </c>
      <c r="O9" s="133" t="s">
        <v>111</v>
      </c>
      <c r="P9" s="133" t="s">
        <v>112</v>
      </c>
      <c r="Q9" s="133" t="s">
        <v>113</v>
      </c>
      <c r="R9" s="133" t="s">
        <v>114</v>
      </c>
      <c r="S9" s="133" t="s">
        <v>115</v>
      </c>
      <c r="T9" s="133" t="s">
        <v>116</v>
      </c>
      <c r="U9" s="133" t="s">
        <v>117</v>
      </c>
      <c r="V9" s="133" t="s">
        <v>118</v>
      </c>
      <c r="W9" s="133" t="s">
        <v>119</v>
      </c>
      <c r="X9" s="133" t="s">
        <v>120</v>
      </c>
      <c r="Y9" s="133" t="s">
        <v>121</v>
      </c>
      <c r="Z9" s="133" t="s">
        <v>122</v>
      </c>
      <c r="AA9" s="133" t="s">
        <v>123</v>
      </c>
      <c r="AB9" s="133" t="s">
        <v>124</v>
      </c>
      <c r="AC9" s="133" t="s">
        <v>125</v>
      </c>
      <c r="AD9" s="133" t="s">
        <v>126</v>
      </c>
      <c r="AE9" s="133" t="s">
        <v>127</v>
      </c>
      <c r="AF9" s="133" t="s">
        <v>128</v>
      </c>
      <c r="AG9" s="133" t="s">
        <v>129</v>
      </c>
      <c r="AH9" s="133" t="s">
        <v>130</v>
      </c>
      <c r="AI9" s="133" t="s">
        <v>131</v>
      </c>
      <c r="AJ9" s="133" t="s">
        <v>132</v>
      </c>
      <c r="AK9" s="133" t="s">
        <v>133</v>
      </c>
      <c r="AL9" s="133" t="s">
        <v>134</v>
      </c>
      <c r="AM9" s="133" t="s">
        <v>135</v>
      </c>
      <c r="AN9" s="133" t="s">
        <v>136</v>
      </c>
      <c r="AO9" s="133" t="s">
        <v>137</v>
      </c>
      <c r="AP9" s="133" t="s">
        <v>138</v>
      </c>
      <c r="AQ9" s="133" t="s">
        <v>139</v>
      </c>
      <c r="AR9" s="133" t="s">
        <v>140</v>
      </c>
      <c r="AS9" s="133" t="s">
        <v>141</v>
      </c>
      <c r="AT9" s="133" t="s">
        <v>142</v>
      </c>
      <c r="AU9" s="133" t="s">
        <v>143</v>
      </c>
      <c r="AV9" s="133" t="s">
        <v>144</v>
      </c>
      <c r="AW9" s="133" t="s">
        <v>145</v>
      </c>
      <c r="AX9" s="133" t="s">
        <v>146</v>
      </c>
      <c r="AY9" s="133" t="s">
        <v>147</v>
      </c>
      <c r="AZ9" s="133" t="s">
        <v>148</v>
      </c>
      <c r="BA9" s="133" t="s">
        <v>149</v>
      </c>
      <c r="BB9" s="133" t="s">
        <v>150</v>
      </c>
      <c r="BC9" s="133" t="s">
        <v>348</v>
      </c>
      <c r="BD9" s="133" t="s">
        <v>151</v>
      </c>
      <c r="BE9" s="133" t="s">
        <v>152</v>
      </c>
      <c r="BF9" s="133" t="s">
        <v>153</v>
      </c>
      <c r="BG9" s="133" t="s">
        <v>154</v>
      </c>
      <c r="BH9" s="133" t="s">
        <v>155</v>
      </c>
      <c r="BI9" s="133" t="s">
        <v>349</v>
      </c>
      <c r="BJ9" s="133" t="s">
        <v>156</v>
      </c>
      <c r="BK9" s="133" t="s">
        <v>157</v>
      </c>
      <c r="BL9" s="133" t="s">
        <v>158</v>
      </c>
      <c r="BM9" s="133" t="s">
        <v>159</v>
      </c>
      <c r="BN9" s="133" t="s">
        <v>160</v>
      </c>
      <c r="BO9" s="133" t="s">
        <v>161</v>
      </c>
      <c r="BP9" s="133" t="s">
        <v>162</v>
      </c>
      <c r="BQ9" s="112"/>
      <c r="BR9" s="112"/>
      <c r="BS9" s="112"/>
      <c r="BT9" s="112"/>
      <c r="BU9" s="112" t="s">
        <v>589</v>
      </c>
      <c r="BV9" s="112" t="s">
        <v>494</v>
      </c>
      <c r="BW9" s="112" t="s">
        <v>590</v>
      </c>
      <c r="BX9" s="112" t="s">
        <v>586</v>
      </c>
      <c r="BY9" s="112" t="s">
        <v>585</v>
      </c>
      <c r="BZ9" s="112"/>
      <c r="CA9" s="112" t="s">
        <v>513</v>
      </c>
    </row>
    <row r="10" spans="1:81" ht="12.75">
      <c r="A10" s="45"/>
      <c r="B10" s="93" t="s">
        <v>166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8"/>
      <c r="CC10" s="38"/>
    </row>
    <row r="11" spans="1:81" ht="12.75" customHeight="1">
      <c r="A11" s="74" t="s">
        <v>167</v>
      </c>
      <c r="B11" s="92">
        <v>1</v>
      </c>
      <c r="C11" s="130">
        <f>'3.2. Yfirlit'!B18/'3.2. Yfirlit'!B11</f>
        <v>0.320321245324839</v>
      </c>
      <c r="D11" s="130">
        <f>'3.2. Yfirlit'!C18/'3.2. Yfirlit'!C11</f>
        <v>0.6177806637797527</v>
      </c>
      <c r="E11" s="130">
        <f>'3.2. Yfirlit'!D18/'3.2. Yfirlit'!D11</f>
        <v>0.9358723720466549</v>
      </c>
      <c r="F11" s="130">
        <f>'3.2. Yfirlit'!E18/'3.2. Yfirlit'!E11</f>
        <v>0.5153101418347994</v>
      </c>
      <c r="G11" s="130">
        <f>'3.2. Yfirlit'!F18/'3.2. Yfirlit'!F11</f>
        <v>0.48237885122401214</v>
      </c>
      <c r="H11" s="130">
        <f>'3.2. Yfirlit'!G18/'3.2. Yfirlit'!G11</f>
        <v>0.44009091186029947</v>
      </c>
      <c r="I11" s="130">
        <f>'3.2. Yfirlit'!H18/'3.2. Yfirlit'!H11</f>
        <v>0.18256981529848945</v>
      </c>
      <c r="J11"/>
      <c r="K11" s="130">
        <f>'3.2. Yfirlit'!J18/'3.2. Yfirlit'!J11</f>
        <v>1.0030537431528652</v>
      </c>
      <c r="L11" s="130">
        <f>'3.2. Yfirlit'!K18/'3.2. Yfirlit'!K11</f>
        <v>0.13648125213859819</v>
      </c>
      <c r="M11" s="130">
        <f>'3.2. Yfirlit'!L18/'3.2. Yfirlit'!L11</f>
        <v>0.31912888593277083</v>
      </c>
      <c r="N11" s="130">
        <f>'3.2. Yfirlit'!M18/'3.2. Yfirlit'!M11</f>
        <v>1.2240334541209459</v>
      </c>
      <c r="O11" s="130">
        <f>'3.2. Yfirlit'!N18/'3.2. Yfirlit'!N11</f>
        <v>0.3679258876337961</v>
      </c>
      <c r="P11" s="130">
        <f>'3.2. Yfirlit'!O18/'3.2. Yfirlit'!O11</f>
        <v>0.11969135367652209</v>
      </c>
      <c r="Q11" s="130">
        <f>'3.2. Yfirlit'!P18/'3.2. Yfirlit'!P11</f>
        <v>0.5354781945868439</v>
      </c>
      <c r="R11" s="130">
        <f>'3.2. Yfirlit'!Q18/'3.2. Yfirlit'!Q11</f>
        <v>0.4335839201742015</v>
      </c>
      <c r="S11" s="130">
        <f>'3.2. Yfirlit'!R18/'3.2. Yfirlit'!R11</f>
        <v>0.08286213602622013</v>
      </c>
      <c r="T11" s="130">
        <f>'3.2. Yfirlit'!S18/'3.2. Yfirlit'!S11</f>
        <v>0.531943244301826</v>
      </c>
      <c r="U11" s="130">
        <f>'3.2. Yfirlit'!T18/'3.2. Yfirlit'!T11</f>
        <v>0.05680652331825436</v>
      </c>
      <c r="V11" s="130">
        <f>'3.2. Yfirlit'!U18/'3.2. Yfirlit'!U11</f>
        <v>0.5134310441344605</v>
      </c>
      <c r="W11" s="130">
        <f>'3.2. Yfirlit'!V18/'3.2. Yfirlit'!V11</f>
        <v>0.5067716355060767</v>
      </c>
      <c r="X11" s="130">
        <f>'3.2. Yfirlit'!W18/'3.2. Yfirlit'!W11</f>
        <v>0.9547639235736255</v>
      </c>
      <c r="Y11" s="130">
        <f>'3.2. Yfirlit'!X18/'3.2. Yfirlit'!X11</f>
        <v>0.040754953967565524</v>
      </c>
      <c r="Z11" s="130">
        <f>'3.2. Yfirlit'!Y18/'3.2. Yfirlit'!Y11</f>
        <v>0.05123930983512795</v>
      </c>
      <c r="AA11" s="130">
        <f>'3.2. Yfirlit'!Z18/'3.2. Yfirlit'!Z11</f>
        <v>0.34083808225719875</v>
      </c>
      <c r="AB11" s="130">
        <f>'3.2. Yfirlit'!AA18/'3.2. Yfirlit'!AA11</f>
        <v>0</v>
      </c>
      <c r="AC11" s="130">
        <f>'3.2. Yfirlit'!AB18/'3.2. Yfirlit'!AB11</f>
        <v>0.8911135087315208</v>
      </c>
      <c r="AD11" s="130">
        <f>'3.2. Yfirlit'!AC18/'3.2. Yfirlit'!AC11</f>
        <v>0.604167395249066</v>
      </c>
      <c r="AE11" s="130">
        <f>'3.2. Yfirlit'!AD18/'3.2. Yfirlit'!AD11</f>
        <v>0.8861436659440345</v>
      </c>
      <c r="AF11" s="130"/>
      <c r="AG11" s="130">
        <f>'3.2. Yfirlit'!AF18/'3.2. Yfirlit'!AF11</f>
        <v>0.04712212061198856</v>
      </c>
      <c r="AH11" s="130">
        <f>'3.2. Yfirlit'!AG18/'3.2. Yfirlit'!AG11</f>
        <v>0.31163699815168106</v>
      </c>
      <c r="AI11" s="130">
        <f>'3.2. Yfirlit'!AH18/'3.2. Yfirlit'!AH11</f>
        <v>0.44495387756003724</v>
      </c>
      <c r="AJ11" s="130">
        <f>'3.2. Yfirlit'!AI18/'3.2. Yfirlit'!AI11</f>
        <v>0.008505975442459858</v>
      </c>
      <c r="AK11" s="130">
        <f>'3.2. Yfirlit'!AJ18/'3.2. Yfirlit'!AJ11</f>
        <v>0.7119512756027178</v>
      </c>
      <c r="AL11" s="130">
        <f>'3.2. Yfirlit'!AK18/'3.2. Yfirlit'!AK11</f>
        <v>0.42206873462056005</v>
      </c>
      <c r="AM11" s="130">
        <f>'3.2. Yfirlit'!AL18/'3.2. Yfirlit'!AL11</f>
        <v>0.29968555222139315</v>
      </c>
      <c r="AN11" s="130">
        <f>'3.2. Yfirlit'!AM18/'3.2. Yfirlit'!AM11</f>
        <v>0.2881297228889227</v>
      </c>
      <c r="AO11" s="130">
        <f>'3.2. Yfirlit'!AN18/'3.2. Yfirlit'!AN11</f>
        <v>0.21109786199626496</v>
      </c>
      <c r="AP11" s="130">
        <f>'3.2. Yfirlit'!AO18/'3.2. Yfirlit'!AO11</f>
        <v>0.6636555245215691</v>
      </c>
      <c r="AQ11" s="130"/>
      <c r="AR11" s="130">
        <f>'3.2. Yfirlit'!AQ18/'3.2. Yfirlit'!AQ11</f>
        <v>0.41365923362180285</v>
      </c>
      <c r="AS11" s="130">
        <f>'3.2. Yfirlit'!AR18/'3.2. Yfirlit'!AR11</f>
        <v>0.2250438755424652</v>
      </c>
      <c r="AT11" s="130">
        <f>'3.2. Yfirlit'!AS18/'3.2. Yfirlit'!AS11</f>
        <v>0.8700064437480468</v>
      </c>
      <c r="AU11" s="130"/>
      <c r="AV11" s="130">
        <f>'3.2. Yfirlit'!AU18/'3.2. Yfirlit'!AU11</f>
        <v>0.5230668030894118</v>
      </c>
      <c r="AW11" s="130">
        <f>'3.2. Yfirlit'!AV18/'3.2. Yfirlit'!AV11</f>
        <v>0.9985471671568736</v>
      </c>
      <c r="AX11" s="130"/>
      <c r="AY11" s="130"/>
      <c r="AZ11" s="130">
        <f>'3.2. Yfirlit'!AY18/'3.2. Yfirlit'!AY11</f>
        <v>0.005334714214228586</v>
      </c>
      <c r="BA11" s="130"/>
      <c r="BB11" s="130"/>
      <c r="BC11" s="130"/>
      <c r="BD11" s="130">
        <f>'3.2. Yfirlit'!BC18/'3.2. Yfirlit'!BC11</f>
        <v>0.9298396133530867</v>
      </c>
      <c r="BE11" s="130">
        <f>'3.2. Yfirlit'!BD18/'3.2. Yfirlit'!BD11</f>
        <v>0.9608797194167719</v>
      </c>
      <c r="BF11" s="130"/>
      <c r="BG11" s="130"/>
      <c r="BH11" s="130">
        <f>'3.2. Yfirlit'!BG18/'3.2. Yfirlit'!BG11</f>
        <v>1.2347982021074442</v>
      </c>
      <c r="BI11" s="130">
        <f>'3.2. Yfirlit'!BH18/'3.2. Yfirlit'!BH11</f>
        <v>0.786102259482077</v>
      </c>
      <c r="BJ11" s="130"/>
      <c r="BK11" s="130">
        <f>'3.2. Yfirlit'!BJ18/'3.2. Yfirlit'!BJ11</f>
        <v>1.4121476561022008</v>
      </c>
      <c r="BL11" s="130"/>
      <c r="BM11" s="130"/>
      <c r="BN11" s="130"/>
      <c r="BO11" s="130">
        <f>'3.2. Yfirlit'!BN18/'3.2. Yfirlit'!BN11</f>
        <v>1.0098565595333695</v>
      </c>
      <c r="BP11" s="130">
        <f>'3.2. Yfirlit'!BO18/'3.2. Yfirlit'!BO11</f>
        <v>1.0082370423313098</v>
      </c>
      <c r="BQ11" s="130"/>
      <c r="BR11" s="130"/>
      <c r="BS11" s="130"/>
      <c r="BT11" s="130">
        <f>BT72/BT71</f>
        <v>0.4522206177833504</v>
      </c>
      <c r="BU11" s="130">
        <f aca="true" t="shared" si="0" ref="BU11:CA11">BU72/BU71</f>
        <v>0.6497634353199215</v>
      </c>
      <c r="BV11" s="130">
        <f t="shared" si="0"/>
        <v>0.44971689316862956</v>
      </c>
      <c r="BW11" s="130">
        <f t="shared" si="0"/>
        <v>0.4106945647109618</v>
      </c>
      <c r="BX11" s="130">
        <f t="shared" si="0"/>
        <v>0.5051984322862005</v>
      </c>
      <c r="BY11" s="130">
        <f t="shared" si="0"/>
        <v>0.03645869305235225</v>
      </c>
      <c r="BZ11"/>
      <c r="CA11" s="130">
        <f t="shared" si="0"/>
        <v>0.45222061778335026</v>
      </c>
      <c r="CB11" s="38"/>
      <c r="CC11" s="38"/>
    </row>
    <row r="12" spans="1:80" ht="18.75" customHeight="1">
      <c r="A12" s="74" t="s">
        <v>168</v>
      </c>
      <c r="B12" s="92">
        <v>2</v>
      </c>
      <c r="C12" s="192">
        <f>('3.2. Yfirlit'!B42+'3.2. Yfirlit'!B46-'3.2. Yfirlit'!B44)/'3.2. Yfirlit'!B11</f>
        <v>0.0058203559679453456</v>
      </c>
      <c r="D12" s="192">
        <f>('3.2. Yfirlit'!C42+'3.2. Yfirlit'!C46-'3.2. Yfirlit'!C44)/'3.2. Yfirlit'!C11</f>
        <v>0.015215511642510665</v>
      </c>
      <c r="E12" s="192">
        <f>('3.2. Yfirlit'!D42+'3.2. Yfirlit'!D46-'3.2. Yfirlit'!D44)/'3.2. Yfirlit'!D11</f>
        <v>0.011394854632495616</v>
      </c>
      <c r="F12" s="192">
        <f>('3.2. Yfirlit'!E42+'3.2. Yfirlit'!E46-'3.2. Yfirlit'!E44)/'3.2. Yfirlit'!E11</f>
        <v>0.012010556453865631</v>
      </c>
      <c r="G12" s="192">
        <f>('3.2. Yfirlit'!F42+'3.2. Yfirlit'!F46-'3.2. Yfirlit'!F44)/'3.2. Yfirlit'!F11</f>
        <v>0.011944980572107548</v>
      </c>
      <c r="H12" s="192">
        <f>('3.2. Yfirlit'!G42+'3.2. Yfirlit'!G46-'3.2. Yfirlit'!G44)/'3.2. Yfirlit'!G11</f>
        <v>0.01647840986006929</v>
      </c>
      <c r="I12" s="192">
        <f>('3.2. Yfirlit'!H42+'3.2. Yfirlit'!H46-'3.2. Yfirlit'!H44)/'3.2. Yfirlit'!H11</f>
        <v>0.03763792761964311</v>
      </c>
      <c r="J12"/>
      <c r="K12" s="192">
        <f>('3.2. Yfirlit'!J42+'3.2. Yfirlit'!J46-'3.2. Yfirlit'!J44)/'3.2. Yfirlit'!J11</f>
        <v>0.044857998334549745</v>
      </c>
      <c r="L12" s="192">
        <f>('3.2. Yfirlit'!K42+'3.2. Yfirlit'!K46-'3.2. Yfirlit'!K44)/'3.2. Yfirlit'!K11</f>
        <v>0.024892135276724407</v>
      </c>
      <c r="M12" s="192">
        <f>('3.2. Yfirlit'!L42+'3.2. Yfirlit'!L46-'3.2. Yfirlit'!L44)/'3.2. Yfirlit'!L11</f>
        <v>0.055093220244465405</v>
      </c>
      <c r="N12" s="192">
        <f>('3.2. Yfirlit'!M42+'3.2. Yfirlit'!M46-'3.2. Yfirlit'!M44)/'3.2. Yfirlit'!M11</f>
        <v>0.06585244925116965</v>
      </c>
      <c r="O12" s="192">
        <f>('3.2. Yfirlit'!N42+'3.2. Yfirlit'!N46-'3.2. Yfirlit'!N44)/'3.2. Yfirlit'!N11</f>
        <v>0.021524850014515613</v>
      </c>
      <c r="P12" s="192">
        <f>('3.2. Yfirlit'!O42+'3.2. Yfirlit'!O46-'3.2. Yfirlit'!O44)/'3.2. Yfirlit'!O11</f>
        <v>0.027877770773656146</v>
      </c>
      <c r="Q12" s="192">
        <f>('3.2. Yfirlit'!P42+'3.2. Yfirlit'!P46-'3.2. Yfirlit'!P44)/'3.2. Yfirlit'!P11</f>
        <v>0.025586904093360514</v>
      </c>
      <c r="R12" s="192">
        <f>('3.2. Yfirlit'!Q42+'3.2. Yfirlit'!Q46-'3.2. Yfirlit'!Q44)/'3.2. Yfirlit'!Q11</f>
        <v>0.043848726642710646</v>
      </c>
      <c r="S12" s="192">
        <f>('3.2. Yfirlit'!R42+'3.2. Yfirlit'!R46-'3.2. Yfirlit'!R44)/'3.2. Yfirlit'!R11</f>
        <v>0.013689681832337812</v>
      </c>
      <c r="T12" s="192">
        <f>('3.2. Yfirlit'!S42+'3.2. Yfirlit'!S46-'3.2. Yfirlit'!S44)/'3.2. Yfirlit'!S11</f>
        <v>0.03331461251326608</v>
      </c>
      <c r="U12" s="192">
        <f>('3.2. Yfirlit'!T42+'3.2. Yfirlit'!T46-'3.2. Yfirlit'!T44)/'3.2. Yfirlit'!T11</f>
        <v>0.0026203970080249457</v>
      </c>
      <c r="V12" s="192">
        <f>('3.2. Yfirlit'!U42+'3.2. Yfirlit'!U46-'3.2. Yfirlit'!U44)/'3.2. Yfirlit'!U11</f>
        <v>-0.019275577907056075</v>
      </c>
      <c r="W12" s="192">
        <f>('3.2. Yfirlit'!V42+'3.2. Yfirlit'!V46-'3.2. Yfirlit'!V44)/'3.2. Yfirlit'!V11</f>
        <v>0.02426252502032531</v>
      </c>
      <c r="X12" s="192">
        <f>('3.2. Yfirlit'!W42+'3.2. Yfirlit'!W46-'3.2. Yfirlit'!W44)/'3.2. Yfirlit'!W11</f>
        <v>0.016557299092624343</v>
      </c>
      <c r="Y12" s="192">
        <f>('3.2. Yfirlit'!X42+'3.2. Yfirlit'!X46-'3.2. Yfirlit'!X44)/'3.2. Yfirlit'!X11</f>
        <v>0.009094738797168636</v>
      </c>
      <c r="Z12" s="192">
        <f>('3.2. Yfirlit'!Y42+'3.2. Yfirlit'!Y46-'3.2. Yfirlit'!Y44)/'3.2. Yfirlit'!Y11</f>
        <v>0.018411750968818353</v>
      </c>
      <c r="AA12" s="192">
        <f>('3.2. Yfirlit'!Z42+'3.2. Yfirlit'!Z46-'3.2. Yfirlit'!Z44)/'3.2. Yfirlit'!Z11</f>
        <v>0.023924806823123364</v>
      </c>
      <c r="AB12" s="192">
        <f>('3.2. Yfirlit'!AA42+'3.2. Yfirlit'!AA46-'3.2. Yfirlit'!AA44)/'3.2. Yfirlit'!AA11</f>
        <v>0.001929810192687332</v>
      </c>
      <c r="AC12" s="192">
        <f>('3.2. Yfirlit'!AB42+'3.2. Yfirlit'!AB46-'3.2. Yfirlit'!AB44)/'3.2. Yfirlit'!AB11</f>
        <v>0.009657343172779805</v>
      </c>
      <c r="AD12" s="192">
        <f>('3.2. Yfirlit'!AC42+'3.2. Yfirlit'!AC46-'3.2. Yfirlit'!AC44)/'3.2. Yfirlit'!AC11</f>
        <v>0.04880408253218072</v>
      </c>
      <c r="AE12" s="192">
        <f>('3.2. Yfirlit'!AD42+'3.2. Yfirlit'!AD46-'3.2. Yfirlit'!AD44)/'3.2. Yfirlit'!AD11</f>
        <v>0.01262457849602115</v>
      </c>
      <c r="AF12" s="192"/>
      <c r="AG12" s="192">
        <f>('3.2. Yfirlit'!AF42+'3.2. Yfirlit'!AF46-'3.2. Yfirlit'!AF44)/'3.2. Yfirlit'!AF11</f>
        <v>0.005958350788069182</v>
      </c>
      <c r="AH12" s="192">
        <f>('3.2. Yfirlit'!AG42+'3.2. Yfirlit'!AG46-'3.2. Yfirlit'!AG44)/'3.2. Yfirlit'!AG11</f>
        <v>0.010164549328798561</v>
      </c>
      <c r="AI12" s="192">
        <f>('3.2. Yfirlit'!AH42+'3.2. Yfirlit'!AH46-'3.2. Yfirlit'!AH44)/'3.2. Yfirlit'!AH11</f>
        <v>0.024552125398863433</v>
      </c>
      <c r="AJ12" s="192">
        <f>('3.2. Yfirlit'!AI42+'3.2. Yfirlit'!AI46-'3.2. Yfirlit'!AI44)/'3.2. Yfirlit'!AI11</f>
        <v>0.008088186297996833</v>
      </c>
      <c r="AK12" s="192">
        <f>('3.2. Yfirlit'!AJ42+'3.2. Yfirlit'!AJ46-'3.2. Yfirlit'!AJ44)/'3.2. Yfirlit'!AJ11</f>
        <v>0.01100920989684349</v>
      </c>
      <c r="AL12" s="192">
        <f>('3.2. Yfirlit'!AK42+'3.2. Yfirlit'!AK46-'3.2. Yfirlit'!AK44)/'3.2. Yfirlit'!AK11</f>
        <v>0.05203758803261202</v>
      </c>
      <c r="AM12" s="192">
        <f>('3.2. Yfirlit'!AL42+'3.2. Yfirlit'!AL46-'3.2. Yfirlit'!AL44)/'3.2. Yfirlit'!AL11</f>
        <v>0.025323635412191087</v>
      </c>
      <c r="AN12" s="192">
        <f>('3.2. Yfirlit'!AM42+'3.2. Yfirlit'!AM46-'3.2. Yfirlit'!AM44)/'3.2. Yfirlit'!AM11</f>
        <v>0.021818350674486342</v>
      </c>
      <c r="AO12" s="192">
        <f>('3.2. Yfirlit'!AN42+'3.2. Yfirlit'!AN46-'3.2. Yfirlit'!AN44)/'3.2. Yfirlit'!AN11</f>
        <v>0.0003909389895663131</v>
      </c>
      <c r="AP12" s="192">
        <f>('3.2. Yfirlit'!AO42+'3.2. Yfirlit'!AO46-'3.2. Yfirlit'!AO44)/'3.2. Yfirlit'!AO11</f>
        <v>0.025206792004221216</v>
      </c>
      <c r="AQ12" s="192"/>
      <c r="AR12" s="192">
        <f>('3.2. Yfirlit'!AQ42+'3.2. Yfirlit'!AQ46-'3.2. Yfirlit'!AQ44)/'3.2. Yfirlit'!AQ11</f>
        <v>0.04094656007083847</v>
      </c>
      <c r="AS12" s="192">
        <f>('3.2. Yfirlit'!AR42+'3.2. Yfirlit'!AR46-'3.2. Yfirlit'!AR44)/'3.2. Yfirlit'!AR11</f>
        <v>0.03192498688227091</v>
      </c>
      <c r="AT12" s="192">
        <f>('3.2. Yfirlit'!AS42+'3.2. Yfirlit'!AS46-'3.2. Yfirlit'!AS44)/'3.2. Yfirlit'!AS11</f>
        <v>0.020156235595657646</v>
      </c>
      <c r="AU12" s="192"/>
      <c r="AV12" s="192">
        <f>('3.2. Yfirlit'!AU42+'3.2. Yfirlit'!AU46-'3.2. Yfirlit'!AU44)/'3.2. Yfirlit'!AU11</f>
        <v>0.04660210939243544</v>
      </c>
      <c r="AW12" s="192">
        <f>('3.2. Yfirlit'!AV42+'3.2. Yfirlit'!AV46-'3.2. Yfirlit'!AV44)/'3.2. Yfirlit'!AV11</f>
        <v>0.019774563823736005</v>
      </c>
      <c r="AX12" s="192"/>
      <c r="AY12" s="192"/>
      <c r="AZ12" s="192">
        <f>('3.2. Yfirlit'!AY42+'3.2. Yfirlit'!AY46-'3.2. Yfirlit'!AY44)/'3.2. Yfirlit'!AY11</f>
        <v>0.0036234749668220606</v>
      </c>
      <c r="BA12" s="192"/>
      <c r="BB12" s="192"/>
      <c r="BC12" s="192"/>
      <c r="BD12" s="192">
        <f>('3.2. Yfirlit'!BC42+'3.2. Yfirlit'!BC46-'3.2. Yfirlit'!BC44)/'3.2. Yfirlit'!BC11</f>
        <v>0.03494935360679623</v>
      </c>
      <c r="BE12" s="192">
        <f>('3.2. Yfirlit'!BD42+'3.2. Yfirlit'!BD46-'3.2. Yfirlit'!BD44)/'3.2. Yfirlit'!BD11</f>
        <v>0.051050547839566064</v>
      </c>
      <c r="BF12" s="192"/>
      <c r="BG12" s="192"/>
      <c r="BH12" s="192">
        <f>('3.2. Yfirlit'!BG42+'3.2. Yfirlit'!BG46-'3.2. Yfirlit'!BG44)/'3.2. Yfirlit'!BG11</f>
        <v>0.020529902642457735</v>
      </c>
      <c r="BI12" s="192">
        <f>('3.2. Yfirlit'!BH42+'3.2. Yfirlit'!BH46-'3.2. Yfirlit'!BH44)/'3.2. Yfirlit'!BH11</f>
        <v>0.02684353776748809</v>
      </c>
      <c r="BJ12" s="192"/>
      <c r="BK12" s="192">
        <f>('3.2. Yfirlit'!BJ42+'3.2. Yfirlit'!BJ46-'3.2. Yfirlit'!BJ44)/'3.2. Yfirlit'!BJ11</f>
        <v>0.02994450228730883</v>
      </c>
      <c r="BL12"/>
      <c r="BM12" s="192"/>
      <c r="BN12" s="192"/>
      <c r="BO12" s="192">
        <f>('3.2. Yfirlit'!BN42+'3.2. Yfirlit'!BN46-'3.2. Yfirlit'!BN44)/'3.2. Yfirlit'!BN11</f>
        <v>0.011454394758522713</v>
      </c>
      <c r="BP12" s="192">
        <f>('3.2. Yfirlit'!BO42+'3.2. Yfirlit'!BO46-'3.2. Yfirlit'!BO44)/'3.2. Yfirlit'!BO11</f>
        <v>0.015598564781162455</v>
      </c>
      <c r="BQ12" s="192"/>
      <c r="BR12" s="192"/>
      <c r="BS12" s="192"/>
      <c r="BT12" s="192">
        <f>(BT74+BT75-BT76)/BT77</f>
        <v>0.014847615557950554</v>
      </c>
      <c r="BU12" s="192">
        <f aca="true" t="shared" si="1" ref="BU12:CA12">(BU74+BU75-BU76)/BU77</f>
        <v>0.009389401065090171</v>
      </c>
      <c r="BV12" s="192">
        <f t="shared" si="1"/>
        <v>0.023015475750101242</v>
      </c>
      <c r="BW12" s="192">
        <f t="shared" si="1"/>
        <v>0.016080254765908655</v>
      </c>
      <c r="BX12" s="192">
        <f t="shared" si="1"/>
        <v>0.01588293149426399</v>
      </c>
      <c r="BY12" s="192">
        <f t="shared" si="1"/>
        <v>0.006722611715763146</v>
      </c>
      <c r="BZ12"/>
      <c r="CA12" s="192">
        <f t="shared" si="1"/>
        <v>0.014847615557950557</v>
      </c>
      <c r="CB12" s="109"/>
    </row>
    <row r="13" spans="1:79" ht="12.75">
      <c r="A13" s="74" t="s">
        <v>169</v>
      </c>
      <c r="B13" s="92">
        <v>3</v>
      </c>
      <c r="C13" s="192">
        <f>('3.2. Yfirlit'!B42+'3.2. Yfirlit'!B46-'3.2. Yfirlit'!B44)/(('3.2. Yfirlit'!B59+'3.2. Yfirlit'!B62)/2)</f>
        <v>0.0003861047315742026</v>
      </c>
      <c r="D13" s="192">
        <f>('3.2. Yfirlit'!C42+'3.2. Yfirlit'!C46-'3.2. Yfirlit'!C44)/(('3.2. Yfirlit'!C59+'3.2. Yfirlit'!C62)/2)</f>
        <v>0.0008441105186235518</v>
      </c>
      <c r="E13" s="192">
        <f>('3.2. Yfirlit'!D42+'3.2. Yfirlit'!D46-'3.2. Yfirlit'!D44)/(('3.2. Yfirlit'!D59+'3.2. Yfirlit'!D62)/2)</f>
        <v>0.001576740669530701</v>
      </c>
      <c r="F13" s="192">
        <f>('3.2. Yfirlit'!E42+'3.2. Yfirlit'!E46-'3.2. Yfirlit'!E44)/(('3.2. Yfirlit'!E59+'3.2. Yfirlit'!E62)/2)</f>
        <v>0.0006497368966900805</v>
      </c>
      <c r="G13" s="192">
        <f>('3.2. Yfirlit'!F42+'3.2. Yfirlit'!F46-'3.2. Yfirlit'!F44)/(('3.2. Yfirlit'!F59+'3.2. Yfirlit'!F62)/2)</f>
        <v>0.0006719661353913714</v>
      </c>
      <c r="H13" s="192">
        <f>('3.2. Yfirlit'!G42+'3.2. Yfirlit'!G46-'3.2. Yfirlit'!G44)/(('3.2. Yfirlit'!G59+'3.2. Yfirlit'!G62)/2)</f>
        <v>0.000986954951758486</v>
      </c>
      <c r="I13" s="192">
        <f>('3.2. Yfirlit'!H42+'3.2. Yfirlit'!H46-'3.2. Yfirlit'!H44)/(('3.2. Yfirlit'!H59+'3.2. Yfirlit'!H62)/2)</f>
        <v>0.001402405061805782</v>
      </c>
      <c r="J13" s="192">
        <f>('3.2. Yfirlit'!I42+'3.2. Yfirlit'!I46-'3.2. Yfirlit'!I44)/(('3.2. Yfirlit'!I59+'3.2. Yfirlit'!I62)/2)</f>
        <v>0.001245620208750574</v>
      </c>
      <c r="K13" s="192">
        <f>('3.2. Yfirlit'!J42+'3.2. Yfirlit'!J46-'3.2. Yfirlit'!J44)/(('3.2. Yfirlit'!J59+'3.2. Yfirlit'!J62)/2)</f>
        <v>0.002111731987146078</v>
      </c>
      <c r="L13" s="192">
        <f>('3.2. Yfirlit'!K42+'3.2. Yfirlit'!K46-'3.2. Yfirlit'!K44)/(('3.2. Yfirlit'!K59+'3.2. Yfirlit'!K62)/2)</f>
        <v>0.0019395975763870502</v>
      </c>
      <c r="M13" s="192">
        <f>('3.2. Yfirlit'!L42+'3.2. Yfirlit'!L46-'3.2. Yfirlit'!L44)/(('3.2. Yfirlit'!L59+'3.2. Yfirlit'!L62)/2)</f>
        <v>0.0034261901551439497</v>
      </c>
      <c r="N13" s="192">
        <f>('3.2. Yfirlit'!M42+'3.2. Yfirlit'!M46-'3.2. Yfirlit'!M44)/(('3.2. Yfirlit'!M59+'3.2. Yfirlit'!M62)/2)</f>
        <v>0.0021787088329844316</v>
      </c>
      <c r="O13" s="192">
        <f>('3.2. Yfirlit'!N42+'3.2. Yfirlit'!N46-'3.2. Yfirlit'!N44)/(('3.2. Yfirlit'!N59+'3.2. Yfirlit'!N62)/2)</f>
        <v>0.001243917671938353</v>
      </c>
      <c r="P13" s="192">
        <f>('3.2. Yfirlit'!O42+'3.2. Yfirlit'!O46-'3.2. Yfirlit'!O44)/(('3.2. Yfirlit'!O59+'3.2. Yfirlit'!O62)/2)</f>
        <v>0.0019666923949994706</v>
      </c>
      <c r="Q13" s="192">
        <f>('3.2. Yfirlit'!P42+'3.2. Yfirlit'!P46-'3.2. Yfirlit'!P44)/(('3.2. Yfirlit'!P59+'3.2. Yfirlit'!P62)/2)</f>
        <v>0.0015803902939549518</v>
      </c>
      <c r="R13" s="192">
        <f>('3.2. Yfirlit'!Q42+'3.2. Yfirlit'!Q46-'3.2. Yfirlit'!Q44)/(('3.2. Yfirlit'!Q59+'3.2. Yfirlit'!Q62)/2)</f>
        <v>0.0022715400441509046</v>
      </c>
      <c r="S13" s="192">
        <f>('3.2. Yfirlit'!R42+'3.2. Yfirlit'!R46-'3.2. Yfirlit'!R44)/(('3.2. Yfirlit'!R59+'3.2. Yfirlit'!R62)/2)</f>
        <v>0.0012488843846600347</v>
      </c>
      <c r="T13" s="192">
        <f>('3.2. Yfirlit'!S42+'3.2. Yfirlit'!S46-'3.2. Yfirlit'!S44)/(('3.2. Yfirlit'!S59+'3.2. Yfirlit'!S62)/2)</f>
        <v>0.0021881328258403286</v>
      </c>
      <c r="U13" s="192">
        <f>('3.2. Yfirlit'!T42+'3.2. Yfirlit'!T46-'3.2. Yfirlit'!T44)/(('3.2. Yfirlit'!T59+'3.2. Yfirlit'!T62)/2)</f>
        <v>0.00038275230007423606</v>
      </c>
      <c r="V13" s="192">
        <f>('3.2. Yfirlit'!U42+'3.2. Yfirlit'!U46-'3.2. Yfirlit'!U44)/(('3.2. Yfirlit'!U59+'3.2. Yfirlit'!U62)/2)</f>
        <v>-0.0010606520617553192</v>
      </c>
      <c r="W13" s="192">
        <f>('3.2. Yfirlit'!V42+'3.2. Yfirlit'!V46-'3.2. Yfirlit'!V44)/(('3.2. Yfirlit'!V59+'3.2. Yfirlit'!V62)/2)</f>
        <v>0.0012242367330225327</v>
      </c>
      <c r="X13" s="192">
        <f>('3.2. Yfirlit'!W42+'3.2. Yfirlit'!W46-'3.2. Yfirlit'!W44)/(('3.2. Yfirlit'!W59+'3.2. Yfirlit'!W62)/2)</f>
        <v>0.0011673010294893833</v>
      </c>
      <c r="Y13" s="192">
        <f>('3.2. Yfirlit'!X42+'3.2. Yfirlit'!X46-'3.2. Yfirlit'!X44)/(('3.2. Yfirlit'!X59+'3.2. Yfirlit'!X62)/2)</f>
        <v>0.0019459519509045689</v>
      </c>
      <c r="Z13" s="192">
        <f>('3.2. Yfirlit'!Y42+'3.2. Yfirlit'!Y46-'3.2. Yfirlit'!Y44)/(('3.2. Yfirlit'!Y59+'3.2. Yfirlit'!Y62)/2)</f>
        <v>0.0008001391308331125</v>
      </c>
      <c r="AA13" s="192">
        <f>('3.2. Yfirlit'!Z42+'3.2. Yfirlit'!Z46-'3.2. Yfirlit'!Z44)/(('3.2. Yfirlit'!Z59+'3.2. Yfirlit'!Z62)/2)</f>
        <v>0.0018408831615621122</v>
      </c>
      <c r="AB13" s="192">
        <f>('3.2. Yfirlit'!AA42+'3.2. Yfirlit'!AA46-'3.2. Yfirlit'!AA44)/(('3.2. Yfirlit'!AA59+'3.2. Yfirlit'!AA62)/2)</f>
        <v>0.002537405218242042</v>
      </c>
      <c r="AC13" s="192">
        <f>('3.2. Yfirlit'!AB42+'3.2. Yfirlit'!AB46-'3.2. Yfirlit'!AB44)/(('3.2. Yfirlit'!AB59+'3.2. Yfirlit'!AB62)/2)</f>
        <v>0.0027792346181832127</v>
      </c>
      <c r="AD13" s="192">
        <f>('3.2. Yfirlit'!AC42+'3.2. Yfirlit'!AC46-'3.2. Yfirlit'!AC44)/(('3.2. Yfirlit'!AC59+'3.2. Yfirlit'!AC62)/2)</f>
        <v>0.0033024363396519604</v>
      </c>
      <c r="AE13" s="192">
        <f>('3.2. Yfirlit'!AD42+'3.2. Yfirlit'!AD46-'3.2. Yfirlit'!AD44)/(('3.2. Yfirlit'!AD59+'3.2. Yfirlit'!AD62)/2)</f>
        <v>0.0005797486202966252</v>
      </c>
      <c r="AF13" s="192">
        <f>('3.2. Yfirlit'!AE42+'3.2. Yfirlit'!AE46-'3.2. Yfirlit'!AE44)/(('3.2. Yfirlit'!AE59+'3.2. Yfirlit'!AE62)/2)</f>
        <v>0.0012261531577796242</v>
      </c>
      <c r="AG13" s="192">
        <f>('3.2. Yfirlit'!AF42+'3.2. Yfirlit'!AF46-'3.2. Yfirlit'!AF44)/(('3.2. Yfirlit'!AF59+'3.2. Yfirlit'!AF62)/2)</f>
        <v>0.0019009482012224024</v>
      </c>
      <c r="AH13" s="192">
        <f>('3.2. Yfirlit'!AG42+'3.2. Yfirlit'!AG46-'3.2. Yfirlit'!AG44)/(('3.2. Yfirlit'!AG59+'3.2. Yfirlit'!AG62)/2)</f>
        <v>0.0006186729048588543</v>
      </c>
      <c r="AI13" s="192">
        <f>('3.2. Yfirlit'!AH42+'3.2. Yfirlit'!AH46-'3.2. Yfirlit'!AH44)/(('3.2. Yfirlit'!AH59+'3.2. Yfirlit'!AH62)/2)</f>
        <v>0.0012083464733482607</v>
      </c>
      <c r="AJ13" s="192">
        <f>('3.2. Yfirlit'!AI42+'3.2. Yfirlit'!AI46-'3.2. Yfirlit'!AI44)/(('3.2. Yfirlit'!AI59+'3.2. Yfirlit'!AI62)/2)</f>
        <v>0.005210830104247266</v>
      </c>
      <c r="AK13" s="192">
        <f>('3.2. Yfirlit'!AJ42+'3.2. Yfirlit'!AJ46-'3.2. Yfirlit'!AJ44)/(('3.2. Yfirlit'!AJ59+'3.2. Yfirlit'!AJ62)/2)</f>
        <v>0.0005961558787734217</v>
      </c>
      <c r="AL13" s="192">
        <f>('3.2. Yfirlit'!AK42+'3.2. Yfirlit'!AK46-'3.2. Yfirlit'!AK44)/(('3.2. Yfirlit'!AK59+'3.2. Yfirlit'!AK62)/2)</f>
        <v>0.0019658073845910838</v>
      </c>
      <c r="AM13" s="192">
        <f>('3.2. Yfirlit'!AL42+'3.2. Yfirlit'!AL46-'3.2. Yfirlit'!AL44)/(('3.2. Yfirlit'!AL59+'3.2. Yfirlit'!AL62)/2)</f>
        <v>0.001642848984433713</v>
      </c>
      <c r="AN13" s="192">
        <f>('3.2. Yfirlit'!AM42+'3.2. Yfirlit'!AM46-'3.2. Yfirlit'!AM44)/(('3.2. Yfirlit'!AM59+'3.2. Yfirlit'!AM62)/2)</f>
        <v>0.0013236200722566145</v>
      </c>
      <c r="AO13" s="192">
        <f>('3.2. Yfirlit'!AN42+'3.2. Yfirlit'!AN46-'3.2. Yfirlit'!AN44)/(('3.2. Yfirlit'!AN59+'3.2. Yfirlit'!AN62)/2)</f>
        <v>2.1427796876061577E-05</v>
      </c>
      <c r="AP13" s="192">
        <f>('3.2. Yfirlit'!AO42+'3.2. Yfirlit'!AO46-'3.2. Yfirlit'!AO44)/(('3.2. Yfirlit'!AO59+'3.2. Yfirlit'!AO62)/2)</f>
        <v>0.0015030558040393062</v>
      </c>
      <c r="AQ13" s="192">
        <f>('3.2. Yfirlit'!AP42+'3.2. Yfirlit'!AP46-'3.2. Yfirlit'!AP44)/(('3.2. Yfirlit'!AP59+'3.2. Yfirlit'!AP62)/2)</f>
        <v>0.0007532506625922488</v>
      </c>
      <c r="AR13" s="192">
        <f>('3.2. Yfirlit'!AQ42+'3.2. Yfirlit'!AQ46-'3.2. Yfirlit'!AQ44)/(('3.2. Yfirlit'!AQ59+'3.2. Yfirlit'!AQ62)/2)</f>
        <v>0.003643984853357925</v>
      </c>
      <c r="AS13" s="192">
        <f>('3.2. Yfirlit'!AR42+'3.2. Yfirlit'!AR46-'3.2. Yfirlit'!AR44)/(('3.2. Yfirlit'!AR59+'3.2. Yfirlit'!AR62)/2)</f>
        <v>0.0013583680549496585</v>
      </c>
      <c r="AT13" s="192">
        <f>('3.2. Yfirlit'!AS42+'3.2. Yfirlit'!AS46-'3.2. Yfirlit'!AS44)/(('3.2. Yfirlit'!AS59+'3.2. Yfirlit'!AS62)/2)</f>
        <v>0.0023671525643727885</v>
      </c>
      <c r="AU13" s="192">
        <f>('3.2. Yfirlit'!AT42+'3.2. Yfirlit'!AT46-'3.2. Yfirlit'!AT44)/(('3.2. Yfirlit'!AT59+'3.2. Yfirlit'!AT62)/2)</f>
        <v>0.0010041866667287057</v>
      </c>
      <c r="AV13" s="192">
        <f>('3.2. Yfirlit'!AU42+'3.2. Yfirlit'!AU46-'3.2. Yfirlit'!AU44)/(('3.2. Yfirlit'!AU59+'3.2. Yfirlit'!AU62)/2)</f>
        <v>0.0030988895014828206</v>
      </c>
      <c r="AW13" s="192">
        <f>('3.2. Yfirlit'!AV42+'3.2. Yfirlit'!AV46-'3.2. Yfirlit'!AV44)/(('3.2. Yfirlit'!AV59+'3.2. Yfirlit'!AV62)/2)</f>
        <v>0.0012391333143212547</v>
      </c>
      <c r="AX13" s="192">
        <f>('3.2. Yfirlit'!AW42+'3.2. Yfirlit'!AW46-'3.2. Yfirlit'!AW44)/(('3.2. Yfirlit'!AW59+'3.2. Yfirlit'!AW62)/2)</f>
        <v>0.004567416790766193</v>
      </c>
      <c r="AY13" s="192">
        <f>('3.2. Yfirlit'!AX42+'3.2. Yfirlit'!AX46-'3.2. Yfirlit'!AX44)/(('3.2. Yfirlit'!AX59+'3.2. Yfirlit'!AX62)/2)</f>
        <v>0.003375390876296227</v>
      </c>
      <c r="AZ13" s="192">
        <f>('3.2. Yfirlit'!AY42+'3.2. Yfirlit'!AY46-'3.2. Yfirlit'!AY44)/(('3.2. Yfirlit'!AY59+'3.2. Yfirlit'!AY62)/2)</f>
        <v>0.0033097497050450387</v>
      </c>
      <c r="BA13" s="192">
        <f>('3.2. Yfirlit'!AZ42+'3.2. Yfirlit'!AZ46-'3.2. Yfirlit'!AZ44)/(('3.2. Yfirlit'!AZ59+'3.2. Yfirlit'!AZ62)/2)</f>
        <v>0.003237872546505076</v>
      </c>
      <c r="BB13" s="192">
        <f>('3.2. Yfirlit'!BA42+'3.2. Yfirlit'!BA46-'3.2. Yfirlit'!BA44)/(('3.2. Yfirlit'!BA59+'3.2. Yfirlit'!BA62)/2)</f>
        <v>0.00048571760961713475</v>
      </c>
      <c r="BC13" s="192">
        <f>('3.2. Yfirlit'!BB42+'3.2. Yfirlit'!BB46-'3.2. Yfirlit'!BB44)/(('3.2. Yfirlit'!BB59+'3.2. Yfirlit'!BB62)/2)</f>
        <v>0.0004946303581495207</v>
      </c>
      <c r="BD13" s="192">
        <f>('3.2. Yfirlit'!BC42+'3.2. Yfirlit'!BC46-'3.2. Yfirlit'!BC44)/(('3.2. Yfirlit'!BC59+'3.2. Yfirlit'!BC62)/2)</f>
        <v>0.003369530915890404</v>
      </c>
      <c r="BE13" s="192">
        <f>('3.2. Yfirlit'!BD42+'3.2. Yfirlit'!BD46-'3.2. Yfirlit'!BD44)/(('3.2. Yfirlit'!BD59+'3.2. Yfirlit'!BD62)/2)</f>
        <v>0.004032372709070779</v>
      </c>
      <c r="BF13" s="192">
        <f>('3.2. Yfirlit'!BE42+'3.2. Yfirlit'!BE46-'3.2. Yfirlit'!BE44)/(('3.2. Yfirlit'!BE59+'3.2. Yfirlit'!BE62)/2)</f>
        <v>0.009373290494066598</v>
      </c>
      <c r="BG13" s="192">
        <f>('3.2. Yfirlit'!BF42+'3.2. Yfirlit'!BF46-'3.2. Yfirlit'!BF44)/(('3.2. Yfirlit'!BF59+'3.2. Yfirlit'!BF62)/2)</f>
        <v>0.005771282185914701</v>
      </c>
      <c r="BH13" s="192">
        <f>('3.2. Yfirlit'!BG42+'3.2. Yfirlit'!BG46-'3.2. Yfirlit'!BG44)/(('3.2. Yfirlit'!BG59+'3.2. Yfirlit'!BG62)/2)</f>
        <v>0.0018613820001544723</v>
      </c>
      <c r="BI13" s="192">
        <f>('3.2. Yfirlit'!BH42+'3.2. Yfirlit'!BH46-'3.2. Yfirlit'!BH44)/(('3.2. Yfirlit'!BH59+'3.2. Yfirlit'!BH62)/2)</f>
        <v>0.0010976901493159334</v>
      </c>
      <c r="BJ13" s="192">
        <f>('3.2. Yfirlit'!BI42+'3.2. Yfirlit'!BI46-'3.2. Yfirlit'!BI44)/(('3.2. Yfirlit'!BI59+'3.2. Yfirlit'!BI62)/2)</f>
        <v>0.0064625561438233356</v>
      </c>
      <c r="BK13" s="192">
        <f>('3.2. Yfirlit'!BJ42+'3.2. Yfirlit'!BJ46-'3.2. Yfirlit'!BJ44)/(('3.2. Yfirlit'!BJ59+'3.2. Yfirlit'!BJ62)/2)</f>
        <v>0.0072550202102196724</v>
      </c>
      <c r="BL13"/>
      <c r="BM13" s="192">
        <f>('3.2. Yfirlit'!BL42+'3.2. Yfirlit'!BL46-'3.2. Yfirlit'!BL44)/(('3.2. Yfirlit'!BL59+'3.2. Yfirlit'!BL62)/2)</f>
        <v>0</v>
      </c>
      <c r="BN13" s="192">
        <f>('3.2. Yfirlit'!BM42+'3.2. Yfirlit'!BM46-'3.2. Yfirlit'!BM44)/(('3.2. Yfirlit'!BM59+'3.2. Yfirlit'!BM62)/2)</f>
        <v>0.004176723630421232</v>
      </c>
      <c r="BO13" s="192"/>
      <c r="BP13" s="192"/>
      <c r="BQ13" s="192"/>
      <c r="BR13" s="192"/>
      <c r="BS13" s="192"/>
      <c r="BT13" s="192">
        <f>(BT79+BT80-BT81)/((BT82+BT83)/2)</f>
        <v>0.0012413905550185758</v>
      </c>
      <c r="BU13" s="192">
        <f aca="true" t="shared" si="2" ref="BU13:CA13">(BU79+BU80-BU81)/((BU82+BU83)/2)</f>
        <v>0.001688022825391975</v>
      </c>
      <c r="BV13" s="192">
        <f t="shared" si="2"/>
        <v>0.0013719768148957227</v>
      </c>
      <c r="BW13" s="192">
        <f t="shared" si="2"/>
        <v>0.0009703378805502849</v>
      </c>
      <c r="BX13" s="192">
        <f t="shared" si="2"/>
        <v>0.001223928678427697</v>
      </c>
      <c r="BY13" s="192">
        <f t="shared" si="2"/>
        <v>0.0016777482820579173</v>
      </c>
      <c r="BZ13"/>
      <c r="CA13" s="192">
        <f t="shared" si="2"/>
        <v>0.0012413905550185762</v>
      </c>
    </row>
    <row r="14" spans="1:79" ht="12.75">
      <c r="A14" s="74" t="s">
        <v>495</v>
      </c>
      <c r="B14" s="92">
        <v>4</v>
      </c>
      <c r="C14" s="193">
        <f>(('3.2. Yfirlit'!B42+'3.2. Yfirlit'!B46-'3.2. Yfirlit'!B44)/C21)*1000</f>
        <v>959.1261418007831</v>
      </c>
      <c r="D14" s="193">
        <f>(('3.2. Yfirlit'!C42+'3.2. Yfirlit'!C46-'3.2. Yfirlit'!C44)/D21)*1000</f>
        <v>1823.911680911681</v>
      </c>
      <c r="E14" s="193">
        <f>(('3.2. Yfirlit'!D42+'3.2. Yfirlit'!D46-'3.2. Yfirlit'!D44)/E21)*1000</f>
        <v>4370.563493947307</v>
      </c>
      <c r="F14" s="193">
        <f>(('3.2. Yfirlit'!E42+'3.2. Yfirlit'!E46-'3.2. Yfirlit'!E44)/F21)*1000</f>
        <v>4744.994211287987</v>
      </c>
      <c r="G14" s="193">
        <f>(('3.2. Yfirlit'!F42+'3.2. Yfirlit'!F46-'3.2. Yfirlit'!F44)/G21)*1000</f>
        <v>2720.1856113113386</v>
      </c>
      <c r="H14" s="193">
        <f>(('3.2. Yfirlit'!G42+'3.2. Yfirlit'!G46-'3.2. Yfirlit'!G44)/H21)*1000</f>
        <v>2103.854320987655</v>
      </c>
      <c r="I14" s="193">
        <f>(('3.2. Yfirlit'!H42+'3.2. Yfirlit'!H46-'3.2. Yfirlit'!H44)/I21)*1000</f>
        <v>2894.9509484291643</v>
      </c>
      <c r="J14" s="193">
        <f>(('3.2. Yfirlit'!I42+'3.2. Yfirlit'!I46-'3.2. Yfirlit'!I44)/J21)*1000</f>
        <v>9210.567567567567</v>
      </c>
      <c r="K14" s="193">
        <f>(('3.2. Yfirlit'!J42+'3.2. Yfirlit'!J46-'3.2. Yfirlit'!J44)/K21)*1000</f>
        <v>7846.830231065469</v>
      </c>
      <c r="L14" s="193">
        <f>(('3.2. Yfirlit'!K42+'3.2. Yfirlit'!K46-'3.2. Yfirlit'!K44)/L21)*1000</f>
        <v>6289.225845778727</v>
      </c>
      <c r="M14" s="193">
        <f>(('3.2. Yfirlit'!L42+'3.2. Yfirlit'!L46-'3.2. Yfirlit'!L44)/M21)*1000</f>
        <v>9594.841741357233</v>
      </c>
      <c r="N14" s="193">
        <f>(('3.2. Yfirlit'!M42+'3.2. Yfirlit'!M46-'3.2. Yfirlit'!M44)/N21)*1000</f>
        <v>3911.0357819007954</v>
      </c>
      <c r="O14" s="193">
        <f>(('3.2. Yfirlit'!N42+'3.2. Yfirlit'!N46-'3.2. Yfirlit'!N44)/O21)*1000</f>
        <v>4379.182894234439</v>
      </c>
      <c r="P14" s="193">
        <f>(('3.2. Yfirlit'!O42+'3.2. Yfirlit'!O46-'3.2. Yfirlit'!O44)/P21)*1000</f>
        <v>15477.317490494297</v>
      </c>
      <c r="Q14" s="193">
        <f>(('3.2. Yfirlit'!P42+'3.2. Yfirlit'!P46-'3.2. Yfirlit'!P44)/Q21)*1000</f>
        <v>3842.4107086614167</v>
      </c>
      <c r="R14" s="193">
        <f>(('3.2. Yfirlit'!Q42+'3.2. Yfirlit'!Q46-'3.2. Yfirlit'!Q44)/R21)*1000</f>
        <v>9642.40578034682</v>
      </c>
      <c r="S14" s="193">
        <f>(('3.2. Yfirlit'!R42+'3.2. Yfirlit'!R46-'3.2. Yfirlit'!R44)/S21)*1000</f>
        <v>5649.900467601871</v>
      </c>
      <c r="T14" s="193">
        <f>(('3.2. Yfirlit'!S42+'3.2. Yfirlit'!S46-'3.2. Yfirlit'!S44)/T21)*1000</f>
        <v>4472.809037328095</v>
      </c>
      <c r="U14" s="193">
        <f>(('3.2. Yfirlit'!T42+'3.2. Yfirlit'!T46-'3.2. Yfirlit'!T44)/U21)*1000</f>
        <v>739.8934557063048</v>
      </c>
      <c r="V14" s="193">
        <f>(('3.2. Yfirlit'!U42+'3.2. Yfirlit'!U46-'3.2. Yfirlit'!U44)/V21)*1000</f>
        <v>-8237.08628659476</v>
      </c>
      <c r="W14" s="193">
        <f>(('3.2. Yfirlit'!V42+'3.2. Yfirlit'!V46-'3.2. Yfirlit'!V44)/W21)*1000</f>
        <v>20600.87959866221</v>
      </c>
      <c r="X14" s="193">
        <f>(('3.2. Yfirlit'!W42+'3.2. Yfirlit'!W46-'3.2. Yfirlit'!W44)/X21)*1000</f>
        <v>4764.202380952381</v>
      </c>
      <c r="Y14" s="193">
        <f>(('3.2. Yfirlit'!X42+'3.2. Yfirlit'!X46-'3.2. Yfirlit'!X44)/Y21)*1000</f>
        <v>3169.698682532937</v>
      </c>
      <c r="Z14" s="193">
        <f>(('3.2. Yfirlit'!Y42+'3.2. Yfirlit'!Y46-'3.2. Yfirlit'!Y44)/Z21)*1000</f>
        <v>3642.7101616628174</v>
      </c>
      <c r="AA14" s="193">
        <f>(('3.2. Yfirlit'!Z42+'3.2. Yfirlit'!Z46-'3.2. Yfirlit'!Z44)/AA21)*1000</f>
        <v>3014.9835409252664</v>
      </c>
      <c r="AB14" s="193">
        <f>(('3.2. Yfirlit'!AA42+'3.2. Yfirlit'!AA46-'3.2. Yfirlit'!AA44)/AB21)*1000</f>
        <v>524.5586945436002</v>
      </c>
      <c r="AC14" s="193">
        <f>(('3.2. Yfirlit'!AB42+'3.2. Yfirlit'!AB46-'3.2. Yfirlit'!AB44)/AC21)*1000</f>
        <v>1994.4618821558222</v>
      </c>
      <c r="AD14" s="193">
        <f>(('3.2. Yfirlit'!AC42+'3.2. Yfirlit'!AC46-'3.2. Yfirlit'!AC44)/AD21)*1000</f>
        <v>8076.523996082273</v>
      </c>
      <c r="AE14" s="193">
        <f>(('3.2. Yfirlit'!AD42+'3.2. Yfirlit'!AD46-'3.2. Yfirlit'!AD44)/AE21)*1000</f>
        <v>2140.286809815951</v>
      </c>
      <c r="AF14" s="193"/>
      <c r="AG14" s="193">
        <f>(('3.2. Yfirlit'!AF42+'3.2. Yfirlit'!AF46-'3.2. Yfirlit'!AF44)/AG21)*1000</f>
        <v>2449.8963210702336</v>
      </c>
      <c r="AH14" s="193"/>
      <c r="AI14" s="193">
        <f>(('3.2. Yfirlit'!AH42+'3.2. Yfirlit'!AH46-'3.2. Yfirlit'!AH44)/AI21)*1000</f>
        <v>6662.4973544973545</v>
      </c>
      <c r="AJ14" s="193">
        <f>(('3.2. Yfirlit'!AI42+'3.2. Yfirlit'!AI46-'3.2. Yfirlit'!AI44)/AJ21)*1000</f>
        <v>2168.131556563652</v>
      </c>
      <c r="AK14" s="193">
        <f>(('3.2. Yfirlit'!AJ42+'3.2. Yfirlit'!AJ46-'3.2. Yfirlit'!AJ44)/AK21)*1000</f>
        <v>4378.777272727272</v>
      </c>
      <c r="AL14" s="193">
        <f>(('3.2. Yfirlit'!AK42+'3.2. Yfirlit'!AK46-'3.2. Yfirlit'!AK44)/AL21)*1000</f>
        <v>4489.722222222223</v>
      </c>
      <c r="AM14" s="193">
        <f>(('3.2. Yfirlit'!AL42+'3.2. Yfirlit'!AL46-'3.2. Yfirlit'!AL44)/AM21)*1000</f>
        <v>3556.7048387096775</v>
      </c>
      <c r="AN14" s="193">
        <f>(('3.2. Yfirlit'!AM42+'3.2. Yfirlit'!AM46-'3.2. Yfirlit'!AM44)/AN21)*1000</f>
        <v>9969.654545454545</v>
      </c>
      <c r="AO14" s="193">
        <f>(('3.2. Yfirlit'!AN42+'3.2. Yfirlit'!AN46-'3.2. Yfirlit'!AN44)/AO21)*1000</f>
        <v>92.14539007092164</v>
      </c>
      <c r="AP14" s="193">
        <f>(('3.2. Yfirlit'!AO42+'3.2. Yfirlit'!AO46-'3.2. Yfirlit'!AO44)/AP21)*1000</f>
        <v>3800.2383292383274</v>
      </c>
      <c r="AQ14" s="193"/>
      <c r="AR14" s="193">
        <f>(('3.2. Yfirlit'!AQ42+'3.2. Yfirlit'!AQ46-'3.2. Yfirlit'!AQ44)/AR21)*1000</f>
        <v>6762.579497907949</v>
      </c>
      <c r="AS14" s="193">
        <f>(('3.2. Yfirlit'!AR42+'3.2. Yfirlit'!AR46-'3.2. Yfirlit'!AR44)/AS21)*1000</f>
        <v>6574.6985074626855</v>
      </c>
      <c r="AT14" s="193">
        <f>(('3.2. Yfirlit'!AS42+'3.2. Yfirlit'!AS46-'3.2. Yfirlit'!AS44)/AT21)*1000</f>
        <v>4160.3469827586205</v>
      </c>
      <c r="AU14" s="193">
        <f>(('3.2. Yfirlit'!AT42+'3.2. Yfirlit'!AT46-'3.2. Yfirlit'!AT44)/AU21)*1000</f>
        <v>9312.068181818182</v>
      </c>
      <c r="AV14" s="193">
        <f>(('3.2. Yfirlit'!AU42+'3.2. Yfirlit'!AU46-'3.2. Yfirlit'!AU44)/AV21)*1000</f>
        <v>4959.474437627811</v>
      </c>
      <c r="AW14" s="193">
        <f>(('3.2. Yfirlit'!AV42+'3.2. Yfirlit'!AV46-'3.2. Yfirlit'!AV44)/AW21)*1000</f>
        <v>3297.4894514767934</v>
      </c>
      <c r="AX14" s="193"/>
      <c r="AY14" s="193"/>
      <c r="AZ14" s="193">
        <f>(('3.2. Yfirlit'!AY42+'3.2. Yfirlit'!AY46-'3.2. Yfirlit'!AY44)/AZ21)*1000</f>
        <v>1866.5744274809163</v>
      </c>
      <c r="BA14" s="193"/>
      <c r="BB14" s="193"/>
      <c r="BC14" s="193"/>
      <c r="BD14" s="193">
        <f>(('3.2. Yfirlit'!BC42+'3.2. Yfirlit'!BC46-'3.2. Yfirlit'!BC44)/BD21)*1000</f>
        <v>5347.587719298246</v>
      </c>
      <c r="BE14" s="193">
        <f>(('3.2. Yfirlit'!BD42+'3.2. Yfirlit'!BD46-'3.2. Yfirlit'!BD44)/BE21)*1000</f>
        <v>13246.150684931506</v>
      </c>
      <c r="BF14" s="193"/>
      <c r="BG14" s="193"/>
      <c r="BH14" s="193">
        <f>(('3.2. Yfirlit'!BG42+'3.2. Yfirlit'!BG46-'3.2. Yfirlit'!BG44)/BH21)*1000</f>
        <v>7222.230769230769</v>
      </c>
      <c r="BI14" s="193">
        <f>(('3.2. Yfirlit'!BH42+'3.2. Yfirlit'!BH46-'3.2. Yfirlit'!BH44)/BI21)*1000</f>
        <v>8611.875</v>
      </c>
      <c r="BJ14" s="193">
        <f>(('3.2. Yfirlit'!BI42+'3.2. Yfirlit'!BI46-'3.2. Yfirlit'!BI44)/BJ21)*1000</f>
        <v>14984.043478260868</v>
      </c>
      <c r="BK14" s="193">
        <f>(('3.2. Yfirlit'!BJ42+'3.2. Yfirlit'!BJ46-'3.2. Yfirlit'!BJ44)/BK21)*1000</f>
        <v>4762.602739726028</v>
      </c>
      <c r="BL14"/>
      <c r="BM14" s="193"/>
      <c r="BN14" s="193"/>
      <c r="BO14" s="193">
        <f>(('3.2. Yfirlit'!BN42+'3.2. Yfirlit'!BN46-'3.2. Yfirlit'!BN44)/BO21)*1000</f>
        <v>23425.09230769231</v>
      </c>
      <c r="BP14" s="193">
        <f>(('3.2. Yfirlit'!BO42+'3.2. Yfirlit'!BO46-'3.2. Yfirlit'!BO44)/BP21)*1000</f>
        <v>27744.909090909092</v>
      </c>
      <c r="BQ14" s="193"/>
      <c r="BR14" s="193"/>
      <c r="BS14" s="193"/>
      <c r="BT14" s="193">
        <f>((BT85+BT86-BT87)/BT21)*1000</f>
        <v>3239.3632152732516</v>
      </c>
      <c r="BU14" s="193">
        <f aca="true" t="shared" si="3" ref="BU14:CA14">((BU85+BU86-BU87)/BU21)*1000</f>
        <v>2911.6587732786606</v>
      </c>
      <c r="BV14" s="193">
        <f t="shared" si="3"/>
        <v>3657.6080658404035</v>
      </c>
      <c r="BW14" s="193">
        <f t="shared" si="3"/>
        <v>3211.443510608982</v>
      </c>
      <c r="BX14" s="193">
        <f t="shared" si="3"/>
        <v>3318.510771575538</v>
      </c>
      <c r="BY14" s="193">
        <f t="shared" si="3"/>
        <v>2270.732944742364</v>
      </c>
      <c r="BZ14"/>
      <c r="CA14" s="193">
        <f t="shared" si="3"/>
        <v>3239.3632152732525</v>
      </c>
    </row>
    <row r="15" spans="1:79" ht="17.25" customHeight="1">
      <c r="A15" s="74" t="s">
        <v>531</v>
      </c>
      <c r="B15" s="92">
        <v>5</v>
      </c>
      <c r="C15" s="192">
        <f>('3.2. Yfirlit'!B42)/'3.2. Yfirlit'!B11</f>
        <v>0.01989067099917069</v>
      </c>
      <c r="D15" s="192">
        <f>('3.2. Yfirlit'!C42)/'3.2. Yfirlit'!C11</f>
        <v>0.03503024990736384</v>
      </c>
      <c r="E15" s="192">
        <f>('3.2. Yfirlit'!D42)/'3.2. Yfirlit'!D11</f>
        <v>0.014253776298395245</v>
      </c>
      <c r="F15" s="192">
        <f>('3.2. Yfirlit'!E42)/'3.2. Yfirlit'!E11</f>
        <v>0.022155672907228786</v>
      </c>
      <c r="G15" s="192">
        <f>('3.2. Yfirlit'!F42)/'3.2. Yfirlit'!F11</f>
        <v>0.028985235426276023</v>
      </c>
      <c r="H15" s="192">
        <f>('3.2. Yfirlit'!G42)/'3.2. Yfirlit'!G11</f>
        <v>0.02945035587571724</v>
      </c>
      <c r="I15" s="192">
        <f>('3.2. Yfirlit'!H42)/'3.2. Yfirlit'!H11</f>
        <v>0.03763792761964311</v>
      </c>
      <c r="J15" s="192"/>
      <c r="K15" s="192">
        <f>('3.2. Yfirlit'!J42)/'3.2. Yfirlit'!J11</f>
        <v>0.044857998334549745</v>
      </c>
      <c r="L15" s="192">
        <f>('3.2. Yfirlit'!K42)/'3.2. Yfirlit'!K11</f>
        <v>0.037346630192935264</v>
      </c>
      <c r="M15" s="192">
        <f>('3.2. Yfirlit'!L42)/'3.2. Yfirlit'!L11</f>
        <v>0.04645587224352814</v>
      </c>
      <c r="N15" s="192">
        <f>('3.2. Yfirlit'!M42)/'3.2. Yfirlit'!M11</f>
        <v>0.06091072892207002</v>
      </c>
      <c r="O15" s="192">
        <f>('3.2. Yfirlit'!N42)/'3.2. Yfirlit'!N11</f>
        <v>0.047309794532879756</v>
      </c>
      <c r="P15" s="192">
        <f>('3.2. Yfirlit'!O42)/'3.2. Yfirlit'!O11</f>
        <v>0.018826809214363766</v>
      </c>
      <c r="Q15" s="192">
        <f>('3.2. Yfirlit'!P42)/'3.2. Yfirlit'!P11</f>
        <v>0.03818567832173135</v>
      </c>
      <c r="R15" s="192">
        <f>('3.2. Yfirlit'!Q42)/'3.2. Yfirlit'!Q11</f>
        <v>0.04902756656600762</v>
      </c>
      <c r="S15" s="192">
        <f>('3.2. Yfirlit'!R42)/'3.2. Yfirlit'!R11</f>
        <v>0.02862249131701778</v>
      </c>
      <c r="T15" s="192">
        <f>('3.2. Yfirlit'!S42)/'3.2. Yfirlit'!S11</f>
        <v>0.027257901112441772</v>
      </c>
      <c r="U15" s="192">
        <f>('3.2. Yfirlit'!T42)/'3.2. Yfirlit'!T11</f>
        <v>0.008514937449221912</v>
      </c>
      <c r="V15" s="192">
        <f>('3.2. Yfirlit'!U42)/'3.2. Yfirlit'!U11</f>
        <v>0.0021667059314930616</v>
      </c>
      <c r="W15" s="192">
        <f>('3.2. Yfirlit'!V42)/'3.2. Yfirlit'!V11</f>
        <v>0.015924504220563206</v>
      </c>
      <c r="X15" s="192">
        <f>('3.2. Yfirlit'!W42)/'3.2. Yfirlit'!W11</f>
        <v>0.022115192079661245</v>
      </c>
      <c r="Y15" s="192">
        <f>('3.2. Yfirlit'!X42)/'3.2. Yfirlit'!X11</f>
        <v>0.009094738797168636</v>
      </c>
      <c r="Z15" s="192">
        <f>('3.2. Yfirlit'!Y42)/'3.2. Yfirlit'!Y11</f>
        <v>0.018411750968818353</v>
      </c>
      <c r="AA15" s="192">
        <f>('3.2. Yfirlit'!Z42)/'3.2. Yfirlit'!Z11</f>
        <v>0.03259558987155057</v>
      </c>
      <c r="AB15" s="192">
        <f>('3.2. Yfirlit'!AA42)/'3.2. Yfirlit'!AA11</f>
        <v>0.0020463241277043948</v>
      </c>
      <c r="AC15" s="192">
        <f>('3.2. Yfirlit'!AB42)/'3.2. Yfirlit'!AB11</f>
        <v>0.009392091591906735</v>
      </c>
      <c r="AD15" s="192">
        <f>('3.2. Yfirlit'!AC42)/'3.2. Yfirlit'!AC11</f>
        <v>0.035266207274416435</v>
      </c>
      <c r="AE15" s="192">
        <f>('3.2. Yfirlit'!AD42)/'3.2. Yfirlit'!AD11</f>
        <v>0.01262457849602115</v>
      </c>
      <c r="AF15" s="192"/>
      <c r="AG15" s="192">
        <f>('3.2. Yfirlit'!AF42)/'3.2. Yfirlit'!AF11</f>
        <v>0.005958350788069182</v>
      </c>
      <c r="AH15" s="192">
        <f>('3.2. Yfirlit'!AG42)/'3.2. Yfirlit'!AG11</f>
        <v>0.010164549328798561</v>
      </c>
      <c r="AI15" s="192">
        <f>('3.2. Yfirlit'!AH42)/'3.2. Yfirlit'!AH11</f>
        <v>0.03664775353410653</v>
      </c>
      <c r="AJ15" s="192">
        <f>('3.2. Yfirlit'!AI42)/'3.2. Yfirlit'!AI11</f>
        <v>0.008088186297996833</v>
      </c>
      <c r="AK15" s="192">
        <f>('3.2. Yfirlit'!AJ42)/'3.2. Yfirlit'!AJ11</f>
        <v>0.013473877018728757</v>
      </c>
      <c r="AL15" s="192">
        <f>('3.2. Yfirlit'!AK42)/'3.2. Yfirlit'!AK11</f>
        <v>0.0710189821536046</v>
      </c>
      <c r="AM15" s="192">
        <f>('3.2. Yfirlit'!AL42)/'3.2. Yfirlit'!AL11</f>
        <v>0.03430860246613289</v>
      </c>
      <c r="AN15" s="192">
        <f>('3.2. Yfirlit'!AM42)/'3.2. Yfirlit'!AM11</f>
        <v>0.021818350674486342</v>
      </c>
      <c r="AO15" s="192">
        <f>('3.2. Yfirlit'!AN42)/'3.2. Yfirlit'!AN11</f>
        <v>0.02116751458126455</v>
      </c>
      <c r="AP15" s="192">
        <f>('3.2. Yfirlit'!AO42)/'3.2. Yfirlit'!AO11</f>
        <v>0.04420491435777387</v>
      </c>
      <c r="AQ15" s="192"/>
      <c r="AR15" s="192">
        <f>('3.2. Yfirlit'!AQ42)/'3.2. Yfirlit'!AQ11</f>
        <v>0.04094656007083847</v>
      </c>
      <c r="AS15" s="192">
        <f>('3.2. Yfirlit'!AR42)/'3.2. Yfirlit'!AR11</f>
        <v>0.023080941461590416</v>
      </c>
      <c r="AT15" s="192">
        <f>('3.2. Yfirlit'!AS42)/'3.2. Yfirlit'!AS11</f>
        <v>0.020156235595657646</v>
      </c>
      <c r="AU15" s="192"/>
      <c r="AV15" s="192">
        <f>('3.2. Yfirlit'!AU42)/'3.2. Yfirlit'!AU11</f>
        <v>0.06534773368848443</v>
      </c>
      <c r="AW15" s="192">
        <f>('3.2. Yfirlit'!AV42)/'3.2. Yfirlit'!AV11</f>
        <v>0.020414987378772453</v>
      </c>
      <c r="AX15" s="192"/>
      <c r="AY15" s="192"/>
      <c r="AZ15" s="192">
        <f>('3.2. Yfirlit'!AY42)/'3.2. Yfirlit'!AY11</f>
        <v>0.0036234749668220606</v>
      </c>
      <c r="BA15" s="192"/>
      <c r="BB15" s="192"/>
      <c r="BC15" s="192"/>
      <c r="BD15" s="192">
        <f>('3.2. Yfirlit'!BC42)/'3.2. Yfirlit'!BC11</f>
        <v>0.03494935360679623</v>
      </c>
      <c r="BE15" s="192">
        <f>('3.2. Yfirlit'!BD42)/'3.2. Yfirlit'!BD11</f>
        <v>0.051050547839566064</v>
      </c>
      <c r="BF15" s="192"/>
      <c r="BG15" s="192"/>
      <c r="BH15" s="192">
        <f>('3.2. Yfirlit'!BG42)/'3.2. Yfirlit'!BG11</f>
        <v>0.020529902642457735</v>
      </c>
      <c r="BI15" s="192">
        <f>('3.2. Yfirlit'!BH42)/'3.2. Yfirlit'!BH11</f>
        <v>0.02684353776748809</v>
      </c>
      <c r="BJ15" s="192"/>
      <c r="BK15" s="192">
        <f>('3.2. Yfirlit'!BJ42)/'3.2. Yfirlit'!BJ11</f>
        <v>0.02994450228730883</v>
      </c>
      <c r="BL15"/>
      <c r="BM15" s="192"/>
      <c r="BN15" s="192"/>
      <c r="BO15" s="192">
        <f>('3.2. Yfirlit'!BN42)/'3.2. Yfirlit'!BN11</f>
        <v>0.011454394758522713</v>
      </c>
      <c r="BP15" s="192">
        <f>('3.2. Yfirlit'!BO42)/'3.2. Yfirlit'!BO11</f>
        <v>0.015598564781162455</v>
      </c>
      <c r="BQ15" s="192"/>
      <c r="BR15" s="192"/>
      <c r="BS15" s="192"/>
      <c r="BT15" s="192">
        <f>(BT90)/BT91</f>
        <v>0.021634376147548973</v>
      </c>
      <c r="BU15" s="192">
        <f aca="true" t="shared" si="4" ref="BU15:CA15">(BU90)/BU91</f>
        <v>0.011225058373392252</v>
      </c>
      <c r="BV15" s="192">
        <f t="shared" si="4"/>
        <v>0.036120728676897626</v>
      </c>
      <c r="BW15" s="192">
        <f t="shared" si="4"/>
        <v>0.024308882597981054</v>
      </c>
      <c r="BX15" s="192">
        <f t="shared" si="4"/>
        <v>0.023389489871817805</v>
      </c>
      <c r="BY15" s="192">
        <f t="shared" si="4"/>
        <v>0.007860507463620133</v>
      </c>
      <c r="BZ15"/>
      <c r="CA15" s="192">
        <f t="shared" si="4"/>
        <v>0.021634376147548973</v>
      </c>
    </row>
    <row r="16" spans="1:79" ht="12.75">
      <c r="A16" s="74" t="s">
        <v>532</v>
      </c>
      <c r="B16" s="92">
        <v>6</v>
      </c>
      <c r="C16" s="192">
        <f>('3.2. Yfirlit'!B42)/(('3.2. Yfirlit'!B59+'3.2. Yfirlit'!B62)/2)</f>
        <v>0.0013194866824746227</v>
      </c>
      <c r="D16" s="192">
        <f>('3.2. Yfirlit'!C42)/(('3.2. Yfirlit'!C59+'3.2. Yfirlit'!C62)/2)</f>
        <v>0.001943372205388314</v>
      </c>
      <c r="E16" s="192">
        <f>('3.2. Yfirlit'!D42)/(('3.2. Yfirlit'!D59+'3.2. Yfirlit'!D62)/2)</f>
        <v>0.00197233834997598</v>
      </c>
      <c r="F16" s="192">
        <f>('3.2. Yfirlit'!E42)/(('3.2. Yfirlit'!E59+'3.2. Yfirlit'!E62)/2)</f>
        <v>0.0011985588023434284</v>
      </c>
      <c r="G16" s="192">
        <f>('3.2. Yfirlit'!F42)/(('3.2. Yfirlit'!F59+'3.2. Yfirlit'!F62)/2)</f>
        <v>0.0016305674601333627</v>
      </c>
      <c r="H16" s="192">
        <f>('3.2. Yfirlit'!G42)/(('3.2. Yfirlit'!G59+'3.2. Yfirlit'!G62)/2)</f>
        <v>0.0017638943811576326</v>
      </c>
      <c r="I16" s="192">
        <f>('3.2. Yfirlit'!H42)/(('3.2. Yfirlit'!H59+'3.2. Yfirlit'!H62)/2)</f>
        <v>0.001402405061805782</v>
      </c>
      <c r="J16" s="192">
        <f>('3.2. Yfirlit'!I42)/(('3.2. Yfirlit'!I59+'3.2. Yfirlit'!I62)/2)</f>
        <v>0.001245620208750574</v>
      </c>
      <c r="K16" s="192">
        <f>('3.2. Yfirlit'!J42)/(('3.2. Yfirlit'!J59+'3.2. Yfirlit'!J62)/2)</f>
        <v>0.002111731987146078</v>
      </c>
      <c r="L16" s="192">
        <f>('3.2. Yfirlit'!K42)/(('3.2. Yfirlit'!K59+'3.2. Yfirlit'!K62)/2)</f>
        <v>0.0029100530188815856</v>
      </c>
      <c r="M16" s="192">
        <f>('3.2. Yfirlit'!L42)/(('3.2. Yfirlit'!L59+'3.2. Yfirlit'!L62)/2)</f>
        <v>0.0028890424524674768</v>
      </c>
      <c r="N16" s="192">
        <f>('3.2. Yfirlit'!M42)/(('3.2. Yfirlit'!M59+'3.2. Yfirlit'!M62)/2)</f>
        <v>0.002015213475506033</v>
      </c>
      <c r="O16" s="192">
        <f>('3.2. Yfirlit'!N42)/(('3.2. Yfirlit'!N59+'3.2. Yfirlit'!N62)/2)</f>
        <v>0.002734025530284093</v>
      </c>
      <c r="P16" s="192">
        <f>('3.2. Yfirlit'!O42)/(('3.2. Yfirlit'!O59+'3.2. Yfirlit'!O62)/2)</f>
        <v>0.0013281744370674147</v>
      </c>
      <c r="Q16" s="192">
        <f>('3.2. Yfirlit'!P42)/(('3.2. Yfirlit'!P59+'3.2. Yfirlit'!P62)/2)</f>
        <v>0.002358561050119771</v>
      </c>
      <c r="R16" s="192">
        <f>('3.2. Yfirlit'!Q42)/(('3.2. Yfirlit'!Q59+'3.2. Yfirlit'!Q62)/2)</f>
        <v>0.002539824739482464</v>
      </c>
      <c r="S16" s="192">
        <f>('3.2. Yfirlit'!R42)/(('3.2. Yfirlit'!R59+'3.2. Yfirlit'!R62)/2)</f>
        <v>0.002611177008617628</v>
      </c>
      <c r="T16" s="192">
        <f>('3.2. Yfirlit'!S42)/(('3.2. Yfirlit'!S59+'3.2. Yfirlit'!S62)/2)</f>
        <v>0.0017903227349227873</v>
      </c>
      <c r="U16" s="192">
        <f>('3.2. Yfirlit'!T42)/(('3.2. Yfirlit'!T59+'3.2. Yfirlit'!T62)/2)</f>
        <v>0.0012437473725152833</v>
      </c>
      <c r="V16" s="192">
        <f>('3.2. Yfirlit'!U42)/(('3.2. Yfirlit'!U59+'3.2. Yfirlit'!U62)/2)</f>
        <v>0.00011922449871732968</v>
      </c>
      <c r="W16" s="192">
        <f>('3.2. Yfirlit'!V42)/(('3.2. Yfirlit'!V59+'3.2. Yfirlit'!V62)/2)</f>
        <v>0.0008035174824406813</v>
      </c>
      <c r="X16" s="192">
        <f>('3.2. Yfirlit'!W42)/(('3.2. Yfirlit'!W59+'3.2. Yfirlit'!W62)/2)</f>
        <v>0.0015591363263736462</v>
      </c>
      <c r="Y16" s="192">
        <f>('3.2. Yfirlit'!X42)/(('3.2. Yfirlit'!X59+'3.2. Yfirlit'!X62)/2)</f>
        <v>0.0019459519509045689</v>
      </c>
      <c r="Z16" s="192">
        <f>('3.2. Yfirlit'!Y42)/(('3.2. Yfirlit'!Y59+'3.2. Yfirlit'!Y62)/2)</f>
        <v>0.0008001391308331125</v>
      </c>
      <c r="AA16" s="192">
        <f>('3.2. Yfirlit'!Z42)/(('3.2. Yfirlit'!Z59+'3.2. Yfirlit'!Z62)/2)</f>
        <v>0.0025080525405842507</v>
      </c>
      <c r="AB16" s="192">
        <f>('3.2. Yfirlit'!AA42)/(('3.2. Yfirlit'!AA59+'3.2. Yfirlit'!AA62)/2)</f>
        <v>0.0026906032207349795</v>
      </c>
      <c r="AC16" s="192">
        <f>('3.2. Yfirlit'!AB42)/(('3.2. Yfirlit'!AB59+'3.2. Yfirlit'!AB62)/2)</f>
        <v>0.002702899298737579</v>
      </c>
      <c r="AD16" s="192">
        <f>('3.2. Yfirlit'!AC42)/(('3.2. Yfirlit'!AC59+'3.2. Yfirlit'!AC62)/2)</f>
        <v>0.002386366025586818</v>
      </c>
      <c r="AE16" s="192">
        <f>('3.2. Yfirlit'!AD42)/(('3.2. Yfirlit'!AD59+'3.2. Yfirlit'!AD62)/2)</f>
        <v>0.0005797486202966252</v>
      </c>
      <c r="AF16" s="192">
        <f>('3.2. Yfirlit'!AE42)/(('3.2. Yfirlit'!AE59+'3.2. Yfirlit'!AE62)/2)</f>
        <v>0.0012261531577796242</v>
      </c>
      <c r="AG16" s="192">
        <f>('3.2. Yfirlit'!AF42)/(('3.2. Yfirlit'!AF59+'3.2. Yfirlit'!AF62)/2)</f>
        <v>0.0019009482012224024</v>
      </c>
      <c r="AH16" s="192">
        <f>('3.2. Yfirlit'!AG42)/(('3.2. Yfirlit'!AG59+'3.2. Yfirlit'!AG62)/2)</f>
        <v>0.0006186729048588543</v>
      </c>
      <c r="AI16" s="192">
        <f>('3.2. Yfirlit'!AH42)/(('3.2. Yfirlit'!AH59+'3.2. Yfirlit'!AH62)/2)</f>
        <v>0.0018036395228383708</v>
      </c>
      <c r="AJ16" s="192">
        <f>('3.2. Yfirlit'!AI42)/(('3.2. Yfirlit'!AI59+'3.2. Yfirlit'!AI62)/2)</f>
        <v>0.005210830104247266</v>
      </c>
      <c r="AK16" s="192">
        <f>('3.2. Yfirlit'!AJ42)/(('3.2. Yfirlit'!AJ59+'3.2. Yfirlit'!AJ62)/2)</f>
        <v>0.0007296192069957992</v>
      </c>
      <c r="AL16" s="192">
        <f>('3.2. Yfirlit'!AK42)/(('3.2. Yfirlit'!AK59+'3.2. Yfirlit'!AK62)/2)</f>
        <v>0.002682861463067903</v>
      </c>
      <c r="AM16" s="192">
        <f>('3.2. Yfirlit'!AL42)/(('3.2. Yfirlit'!AL59+'3.2. Yfirlit'!AL62)/2)</f>
        <v>0.002225740964967936</v>
      </c>
      <c r="AN16" s="192">
        <f>('3.2. Yfirlit'!AM42)/(('3.2. Yfirlit'!AM59+'3.2. Yfirlit'!AM62)/2)</f>
        <v>0.0013236200722566145</v>
      </c>
      <c r="AO16" s="192">
        <f>('3.2. Yfirlit'!AN42)/(('3.2. Yfirlit'!AN59+'3.2. Yfirlit'!AN62)/2)</f>
        <v>0.0011602148031373857</v>
      </c>
      <c r="AP16" s="192">
        <f>('3.2. Yfirlit'!AO42)/(('3.2. Yfirlit'!AO59+'3.2. Yfirlit'!AO62)/2)</f>
        <v>0.0026358948445873555</v>
      </c>
      <c r="AQ16" s="192">
        <f>('3.2. Yfirlit'!AP42)/(('3.2. Yfirlit'!AP59+'3.2. Yfirlit'!AP62)/2)</f>
        <v>0.0015252091931049622</v>
      </c>
      <c r="AR16" s="192">
        <f>('3.2. Yfirlit'!AQ42)/(('3.2. Yfirlit'!AQ59+'3.2. Yfirlit'!AQ62)/2)</f>
        <v>0.003643984853357925</v>
      </c>
      <c r="AS16" s="192">
        <f>('3.2. Yfirlit'!AR42)/(('3.2. Yfirlit'!AR59+'3.2. Yfirlit'!AR62)/2)</f>
        <v>0.0009820650412545235</v>
      </c>
      <c r="AT16" s="192">
        <f>('3.2. Yfirlit'!AS42)/(('3.2. Yfirlit'!AS59+'3.2. Yfirlit'!AS62)/2)</f>
        <v>0.0023671525643727885</v>
      </c>
      <c r="AU16" s="192">
        <f>('3.2. Yfirlit'!AT42)/(('3.2. Yfirlit'!AT59+'3.2. Yfirlit'!AT62)/2)</f>
        <v>0.0010041866667287057</v>
      </c>
      <c r="AV16" s="192">
        <f>('3.2. Yfirlit'!AU42)/(('3.2. Yfirlit'!AU59+'3.2. Yfirlit'!AU62)/2)</f>
        <v>0.004345412868925001</v>
      </c>
      <c r="AW16" s="192">
        <f>('3.2. Yfirlit'!AV42)/(('3.2. Yfirlit'!AV59+'3.2. Yfirlit'!AV62)/2)</f>
        <v>0.00127926416976744</v>
      </c>
      <c r="AX16" s="192">
        <f>('3.2. Yfirlit'!AW42)/(('3.2. Yfirlit'!AW59+'3.2. Yfirlit'!AW62)/2)</f>
        <v>0.0022987698799971368</v>
      </c>
      <c r="AY16" s="192">
        <f>('3.2. Yfirlit'!AX42)/(('3.2. Yfirlit'!AX59+'3.2. Yfirlit'!AX62)/2)</f>
        <v>0.0015682461194019375</v>
      </c>
      <c r="AZ16" s="192">
        <f>('3.2. Yfirlit'!AY42)/(('3.2. Yfirlit'!AY59+'3.2. Yfirlit'!AY62)/2)</f>
        <v>0.0033097497050450387</v>
      </c>
      <c r="BA16" s="192">
        <f>('3.2. Yfirlit'!AZ42)/(('3.2. Yfirlit'!AZ59+'3.2. Yfirlit'!AZ62)/2)</f>
        <v>0.003237872546505076</v>
      </c>
      <c r="BB16" s="192">
        <f>('3.2. Yfirlit'!BA42)/(('3.2. Yfirlit'!BA59+'3.2. Yfirlit'!BA62)/2)</f>
        <v>0.00048571760961713475</v>
      </c>
      <c r="BC16" s="192">
        <f>('3.2. Yfirlit'!BB42)/(('3.2. Yfirlit'!BB59+'3.2. Yfirlit'!BB62)/2)</f>
        <v>0.0004946303581495207</v>
      </c>
      <c r="BD16" s="192">
        <f>('3.2. Yfirlit'!BC42)/(('3.2. Yfirlit'!BC59+'3.2. Yfirlit'!BC62)/2)</f>
        <v>0.003369530915890404</v>
      </c>
      <c r="BE16" s="192">
        <f>('3.2. Yfirlit'!BD42)/(('3.2. Yfirlit'!BD59+'3.2. Yfirlit'!BD62)/2)</f>
        <v>0.004032372709070779</v>
      </c>
      <c r="BF16" s="192">
        <f>('3.2. Yfirlit'!BE42)/(('3.2. Yfirlit'!BE59+'3.2. Yfirlit'!BE62)/2)</f>
        <v>0.010312154063818932</v>
      </c>
      <c r="BG16" s="192">
        <f>('3.2. Yfirlit'!BF42)/(('3.2. Yfirlit'!BF59+'3.2. Yfirlit'!BF62)/2)</f>
        <v>0.005771282185914701</v>
      </c>
      <c r="BH16" s="192">
        <f>('3.2. Yfirlit'!BG42)/(('3.2. Yfirlit'!BG59+'3.2. Yfirlit'!BG62)/2)</f>
        <v>0.0018613820001544723</v>
      </c>
      <c r="BI16" s="192">
        <f>('3.2. Yfirlit'!BH42)/(('3.2. Yfirlit'!BH59+'3.2. Yfirlit'!BH62)/2)</f>
        <v>0.0010976901493159334</v>
      </c>
      <c r="BJ16" s="192">
        <f>('3.2. Yfirlit'!BI42)/(('3.2. Yfirlit'!BI59+'3.2. Yfirlit'!BI62)/2)</f>
        <v>0.006575068111229068</v>
      </c>
      <c r="BK16" s="192">
        <f>('3.2. Yfirlit'!BJ42)/(('3.2. Yfirlit'!BJ59+'3.2. Yfirlit'!BJ62)/2)</f>
        <v>0.0072550202102196724</v>
      </c>
      <c r="BL16"/>
      <c r="BM16" s="192">
        <f>('3.2. Yfirlit'!BL42)/(('3.2. Yfirlit'!BL59+'3.2. Yfirlit'!BL62)/2)</f>
        <v>0</v>
      </c>
      <c r="BN16" s="192">
        <f>('3.2. Yfirlit'!BM42)/(('3.2. Yfirlit'!BM59+'3.2. Yfirlit'!BM62)/2)</f>
        <v>0.004176723630421232</v>
      </c>
      <c r="BO16" s="192"/>
      <c r="BP16" s="192"/>
      <c r="BQ16" s="192"/>
      <c r="BR16" s="192"/>
      <c r="BS16" s="192"/>
      <c r="BT16" s="192">
        <f>(BT93)/((BT94+BT95)/2)</f>
        <v>0.0017743741923477137</v>
      </c>
      <c r="BU16" s="192">
        <f aca="true" t="shared" si="5" ref="BU16:CA16">(BU93)/((BU94+BU95)/2)</f>
        <v>0.0020113965907738915</v>
      </c>
      <c r="BV16" s="192">
        <f t="shared" si="5"/>
        <v>0.002153194781629687</v>
      </c>
      <c r="BW16" s="192">
        <f t="shared" si="5"/>
        <v>0.0013963979510933134</v>
      </c>
      <c r="BX16" s="192">
        <f t="shared" si="5"/>
        <v>0.001767633122798935</v>
      </c>
      <c r="BY16" s="192">
        <f t="shared" si="5"/>
        <v>0.001942827896095439</v>
      </c>
      <c r="BZ16"/>
      <c r="CA16" s="192">
        <f t="shared" si="5"/>
        <v>0.001774374192347714</v>
      </c>
    </row>
    <row r="17" spans="1:79" ht="12.75">
      <c r="A17" s="74" t="s">
        <v>533</v>
      </c>
      <c r="B17" s="92">
        <v>7</v>
      </c>
      <c r="C17" s="193">
        <f>(('3.2. Yfirlit'!B42)/C21)*1000</f>
        <v>3277.748412353197</v>
      </c>
      <c r="D17" s="193">
        <f>(('3.2. Yfirlit'!C42)/D21)*1000</f>
        <v>4199.14121144556</v>
      </c>
      <c r="E17" s="193">
        <f>(('3.2. Yfirlit'!D42)/E21)*1000</f>
        <v>5467.119708837725</v>
      </c>
      <c r="F17" s="193">
        <f>(('3.2. Yfirlit'!E42)/F21)*1000</f>
        <v>8753.011577424022</v>
      </c>
      <c r="G17" s="193">
        <f>(('3.2. Yfirlit'!F42)/G21)*1000</f>
        <v>6600.69891876906</v>
      </c>
      <c r="H17" s="193">
        <f>(('3.2. Yfirlit'!G42)/H21)*1000</f>
        <v>3760.0265432098768</v>
      </c>
      <c r="I17" s="193">
        <f>(('3.2. Yfirlit'!H42)/I21)*1000</f>
        <v>2894.9509484291643</v>
      </c>
      <c r="J17" s="193">
        <f>(('3.2. Yfirlit'!I42)/J21)*1000</f>
        <v>9210.567567567567</v>
      </c>
      <c r="K17" s="193">
        <f>(('3.2. Yfirlit'!J42)/K21)*1000</f>
        <v>7846.830231065469</v>
      </c>
      <c r="L17" s="193">
        <f>(('3.2. Yfirlit'!K42)/L21)*1000</f>
        <v>9435.967997561718</v>
      </c>
      <c r="M17" s="193">
        <f>(('3.2. Yfirlit'!L42)/M21)*1000</f>
        <v>8090.591549295775</v>
      </c>
      <c r="N17" s="193">
        <f>(('3.2. Yfirlit'!M42)/N21)*1000</f>
        <v>3617.5425975009466</v>
      </c>
      <c r="O17" s="193">
        <f>(('3.2. Yfirlit'!N42)/O21)*1000</f>
        <v>9625.072546773577</v>
      </c>
      <c r="P17" s="193">
        <f>(('3.2. Yfirlit'!O42)/P21)*1000</f>
        <v>10452.360266159696</v>
      </c>
      <c r="Q17" s="193">
        <f>(('3.2. Yfirlit'!P42)/Q21)*1000</f>
        <v>5734.381102362205</v>
      </c>
      <c r="R17" s="193">
        <f>(('3.2. Yfirlit'!Q42)/R21)*1000</f>
        <v>10781.241040462428</v>
      </c>
      <c r="S17" s="193">
        <f>(('3.2. Yfirlit'!R42)/S21)*1000</f>
        <v>11812.855043420175</v>
      </c>
      <c r="T17" s="193">
        <f>(('3.2. Yfirlit'!S42)/T21)*1000</f>
        <v>3659.636935166994</v>
      </c>
      <c r="U17" s="193">
        <f>(('3.2. Yfirlit'!T42)/U21)*1000</f>
        <v>2404.2717478052673</v>
      </c>
      <c r="V17" s="193">
        <f>(('3.2. Yfirlit'!U42)/V21)*1000</f>
        <v>925.9044684129431</v>
      </c>
      <c r="W17" s="193">
        <f>(('3.2. Yfirlit'!V42)/W21)*1000</f>
        <v>13521.214046822743</v>
      </c>
      <c r="X17" s="193">
        <f>(('3.2. Yfirlit'!W42)/X21)*1000</f>
        <v>6363.4322344322345</v>
      </c>
      <c r="Y17" s="193">
        <f>(('3.2. Yfirlit'!X42)/Y21)*1000</f>
        <v>3169.698682532937</v>
      </c>
      <c r="Z17" s="193">
        <f>(('3.2. Yfirlit'!Y42)/Z21)*1000</f>
        <v>3642.7101616628174</v>
      </c>
      <c r="AA17" s="193">
        <f>(('3.2. Yfirlit'!Z42)/AA21)*1000</f>
        <v>4107.6681494661925</v>
      </c>
      <c r="AB17" s="193">
        <f>(('3.2. Yfirlit'!AA42)/AB21)*1000</f>
        <v>556.2293727689954</v>
      </c>
      <c r="AC17" s="193">
        <f>(('3.2. Yfirlit'!AB42)/AC21)*1000</f>
        <v>1939.6813739179</v>
      </c>
      <c r="AD17" s="193">
        <f>(('3.2. Yfirlit'!AC42)/AD21)*1000</f>
        <v>5836.158667972576</v>
      </c>
      <c r="AE17" s="193">
        <f>(('3.2. Yfirlit'!AD42)/AE21)*1000</f>
        <v>2140.286809815951</v>
      </c>
      <c r="AF17" s="193"/>
      <c r="AG17" s="193">
        <f>(('3.2. Yfirlit'!AF42)/AG21)*1000</f>
        <v>2449.8963210702336</v>
      </c>
      <c r="AH17" s="193"/>
      <c r="AI17" s="193">
        <f>(('3.2. Yfirlit'!AH42)/AI21)*1000</f>
        <v>9944.783068783068</v>
      </c>
      <c r="AJ17" s="193">
        <f>(('3.2. Yfirlit'!AI42)/AJ21)*1000</f>
        <v>2168.131556563652</v>
      </c>
      <c r="AK17" s="193">
        <f>(('3.2. Yfirlit'!AJ42)/AK21)*1000</f>
        <v>5359.068181818182</v>
      </c>
      <c r="AL17" s="193">
        <f>(('3.2. Yfirlit'!AK42)/AL21)*1000</f>
        <v>6127.407407407407</v>
      </c>
      <c r="AM17" s="193">
        <f>(('3.2. Yfirlit'!AL42)/AM21)*1000</f>
        <v>4818.643548387097</v>
      </c>
      <c r="AN17" s="193">
        <f>(('3.2. Yfirlit'!AM42)/AN21)*1000</f>
        <v>9969.654545454545</v>
      </c>
      <c r="AO17" s="193">
        <f>(('3.2. Yfirlit'!AN42)/AO21)*1000</f>
        <v>4989.241134751773</v>
      </c>
      <c r="AP17" s="193">
        <f>(('3.2. Yfirlit'!AO42)/AP21)*1000</f>
        <v>6664.44226044226</v>
      </c>
      <c r="AQ17" s="193"/>
      <c r="AR17" s="193">
        <f>(('3.2. Yfirlit'!AQ42)/AR21)*1000</f>
        <v>6762.579497907949</v>
      </c>
      <c r="AS17" s="193">
        <f>(('3.2. Yfirlit'!AR42)/AS21)*1000</f>
        <v>4753.337313432836</v>
      </c>
      <c r="AT17" s="193">
        <f>(('3.2. Yfirlit'!AS42)/AT21)*1000</f>
        <v>4160.3469827586205</v>
      </c>
      <c r="AU17" s="193">
        <f>(('3.2. Yfirlit'!AT42)/AU21)*1000</f>
        <v>9312.068181818182</v>
      </c>
      <c r="AV17" s="193">
        <f>(('3.2. Yfirlit'!AU42)/AV21)*1000</f>
        <v>6954.415132924335</v>
      </c>
      <c r="AW17" s="193">
        <f>(('3.2. Yfirlit'!AV42)/AW21)*1000</f>
        <v>3404.282700421941</v>
      </c>
      <c r="AX17" s="193"/>
      <c r="AY17" s="193"/>
      <c r="AZ17" s="193">
        <f>(('3.2. Yfirlit'!AY42)/AZ21)*1000</f>
        <v>1866.5744274809163</v>
      </c>
      <c r="BA17" s="193"/>
      <c r="BB17" s="193"/>
      <c r="BC17" s="193"/>
      <c r="BD17" s="193">
        <f>(('3.2. Yfirlit'!BC42)/BD21)*1000</f>
        <v>5347.587719298246</v>
      </c>
      <c r="BE17" s="193">
        <f>(('3.2. Yfirlit'!BD42)/BE21)*1000</f>
        <v>13246.150684931506</v>
      </c>
      <c r="BF17" s="193"/>
      <c r="BG17" s="193"/>
      <c r="BH17" s="193">
        <f>(('3.2. Yfirlit'!BG42)/BH21)*1000</f>
        <v>7222.230769230769</v>
      </c>
      <c r="BI17" s="193">
        <f>(('3.2. Yfirlit'!BH42)/BI21)*1000</f>
        <v>8611.875</v>
      </c>
      <c r="BJ17" s="193">
        <f>(('3.2. Yfirlit'!BI42)/BJ21)*1000</f>
        <v>15244.91304347826</v>
      </c>
      <c r="BK17" s="193">
        <f>(('3.2. Yfirlit'!BJ42)/BK21)*1000</f>
        <v>4762.602739726028</v>
      </c>
      <c r="BL17"/>
      <c r="BM17" s="193"/>
      <c r="BN17" s="193"/>
      <c r="BO17" s="193">
        <f>(('3.2. Yfirlit'!BN42)/BO21)*1000</f>
        <v>23425.09230769231</v>
      </c>
      <c r="BP17" s="193">
        <f>(('3.2. Yfirlit'!BO42)/BP21)*1000</f>
        <v>27744.909090909092</v>
      </c>
      <c r="BQ17" s="193"/>
      <c r="BR17" s="193"/>
      <c r="BS17" s="193"/>
      <c r="BT17" s="193">
        <f>((BT97)/BT21)*1000</f>
        <v>4676.642068370348</v>
      </c>
      <c r="BU17" s="193">
        <f aca="true" t="shared" si="6" ref="BU17:CA17">((BU97)/BU21)*1000</f>
        <v>3489.520929437895</v>
      </c>
      <c r="BV17" s="193">
        <f t="shared" si="6"/>
        <v>5740.288403643898</v>
      </c>
      <c r="BW17" s="193">
        <f t="shared" si="6"/>
        <v>4720.944750620004</v>
      </c>
      <c r="BX17" s="193">
        <f t="shared" si="6"/>
        <v>4843.679649457039</v>
      </c>
      <c r="BY17" s="193">
        <f t="shared" si="6"/>
        <v>2632.388715318256</v>
      </c>
      <c r="BZ17"/>
      <c r="CA17" s="193">
        <f t="shared" si="6"/>
        <v>4676.642068370348</v>
      </c>
    </row>
    <row r="18" spans="1:79" ht="19.5" customHeight="1">
      <c r="A18" s="74" t="s">
        <v>343</v>
      </c>
      <c r="B18" s="92">
        <v>8</v>
      </c>
      <c r="C18" s="130">
        <f>(SUM(1+'3.5. Aðrar fjárfest'!B70)/SUM(1+'3.5. Aðrar fjárfest'!B71))-1</f>
        <v>0.07682034320911058</v>
      </c>
      <c r="D18" s="130">
        <f>(SUM(1+'3.5. Aðrar fjárfest'!C70)/SUM(1+'3.5. Aðrar fjárfest'!C71))-1</f>
        <v>0.08525606560046461</v>
      </c>
      <c r="E18" s="130">
        <f>(SUM(1+'3.5. Aðrar fjárfest'!D70)/SUM(1+'3.5. Aðrar fjárfest'!D71))-1</f>
        <v>0.05993392933362118</v>
      </c>
      <c r="F18" s="130">
        <f>(SUM(1+'3.5. Aðrar fjárfest'!E70)/SUM(1+'3.5. Aðrar fjárfest'!E71))-1</f>
        <v>0.07983788017369009</v>
      </c>
      <c r="G18" s="130">
        <f>(SUM(1+'3.5. Aðrar fjárfest'!F70)/SUM(1+'3.5. Aðrar fjárfest'!F71))-1</f>
        <v>0.07283826731863274</v>
      </c>
      <c r="H18" s="130">
        <f>(SUM(1+'3.5. Aðrar fjárfest'!G70)/SUM(1+'3.5. Aðrar fjárfest'!G71))-1</f>
        <v>0.10216561215526898</v>
      </c>
      <c r="I18" s="130">
        <f>(SUM(1+'3.5. Aðrar fjárfest'!H70)/SUM(1+'3.5. Aðrar fjárfest'!H71))-1</f>
        <v>0.0650842641488718</v>
      </c>
      <c r="J18" s="130"/>
      <c r="K18" s="130">
        <f>(SUM(1+'3.5. Aðrar fjárfest'!J70)/SUM(1+'3.5. Aðrar fjárfest'!J71))-1</f>
        <v>0.0746954726183724</v>
      </c>
      <c r="L18" s="130">
        <f>(SUM(1+'3.5. Aðrar fjárfest'!K70)/SUM(1+'3.5. Aðrar fjárfest'!K71))-1</f>
        <v>0.05312171229165097</v>
      </c>
      <c r="M18" s="130">
        <f>(SUM(1+'3.5. Aðrar fjárfest'!L70)/SUM(1+'3.5. Aðrar fjárfest'!L71))-1</f>
        <v>0.02032345992373341</v>
      </c>
      <c r="N18" s="130">
        <f>(SUM(1+'3.5. Aðrar fjárfest'!M70)/SUM(1+'3.5. Aðrar fjárfest'!M71))-1</f>
        <v>0.08919469722510898</v>
      </c>
      <c r="O18" s="130">
        <f>(SUM(1+'3.5. Aðrar fjárfest'!N70)/SUM(1+'3.5. Aðrar fjárfest'!N71))-1</f>
        <v>0.07893526394312267</v>
      </c>
      <c r="P18" s="130">
        <f>(SUM(1+'3.5. Aðrar fjárfest'!O70)/SUM(1+'3.5. Aðrar fjárfest'!O71))-1</f>
        <v>0.08200793664141326</v>
      </c>
      <c r="Q18" s="130">
        <f>(SUM(1+'3.5. Aðrar fjárfest'!P70)/SUM(1+'3.5. Aðrar fjárfest'!P71))-1</f>
        <v>0.09170254415238421</v>
      </c>
      <c r="R18" s="130">
        <f>(SUM(1+'3.5. Aðrar fjárfest'!Q70)/SUM(1+'3.5. Aðrar fjárfest'!Q71))-1</f>
        <v>0.07350136104682203</v>
      </c>
      <c r="S18" s="130">
        <f>(SUM(1+'3.5. Aðrar fjárfest'!R70)/SUM(1+'3.5. Aðrar fjárfest'!R71))-1</f>
        <v>0.11116250642336256</v>
      </c>
      <c r="T18" s="130">
        <f>(SUM(1+'3.5. Aðrar fjárfest'!S70)/SUM(1+'3.5. Aðrar fjárfest'!S71))-1</f>
        <v>0.06883653381536581</v>
      </c>
      <c r="U18" s="130">
        <f>(SUM(1+'3.5. Aðrar fjárfest'!T70)/SUM(1+'3.5. Aðrar fjárfest'!T71))-1</f>
        <v>0.09972697323942192</v>
      </c>
      <c r="V18" s="130">
        <f>(SUM(1+'3.5. Aðrar fjárfest'!U70)/SUM(1+'3.5. Aðrar fjárfest'!U71))-1</f>
        <v>0.09879564531625817</v>
      </c>
      <c r="W18" s="130">
        <f>(SUM(1+'3.5. Aðrar fjárfest'!V70)/SUM(1+'3.5. Aðrar fjárfest'!V71))-1</f>
        <v>0.06866962818147093</v>
      </c>
      <c r="X18" s="130">
        <f>(SUM(1+'3.5. Aðrar fjárfest'!W70)/SUM(1+'3.5. Aðrar fjárfest'!W71))-1</f>
        <v>0.06638025759838717</v>
      </c>
      <c r="Y18"/>
      <c r="Z18" s="130">
        <v>0.0683</v>
      </c>
      <c r="AA18" s="130">
        <f>(SUM(1+'3.5. Aðrar fjárfest'!Z70)/SUM(1+'3.5. Aðrar fjárfest'!Z71))-1</f>
        <v>0.07130383195681533</v>
      </c>
      <c r="AB18" s="130"/>
      <c r="AC18" s="130">
        <f>(SUM(1+'3.5. Aðrar fjárfest'!AB70)/SUM(1+'3.5. Aðrar fjárfest'!AB71))-1</f>
        <v>0.052127147311965105</v>
      </c>
      <c r="AD18" s="130">
        <f>(SUM(1+'3.5. Aðrar fjárfest'!AC70)/SUM(1+'3.5. Aðrar fjárfest'!AC71))-1</f>
        <v>0.06983618770142619</v>
      </c>
      <c r="AE18" s="130">
        <f>(SUM(1+'3.5. Aðrar fjárfest'!AD70)/SUM(1+'3.5. Aðrar fjárfest'!AD71))-1</f>
        <v>0.06315141870633978</v>
      </c>
      <c r="AF18" s="130">
        <f>(SUM(1+'3.5. Aðrar fjárfest'!AE70)/SUM(1+'3.5. Aðrar fjárfest'!AE71))-1</f>
        <v>0.11192233091354065</v>
      </c>
      <c r="AG18"/>
      <c r="AH18" s="130">
        <f>(SUM(1+'3.5. Aðrar fjárfest'!AG70)/SUM(1+'3.5. Aðrar fjárfest'!AG71))-1</f>
        <v>0.10529317138064531</v>
      </c>
      <c r="AI18" s="130">
        <f>(SUM(1+'3.5. Aðrar fjárfest'!AH70)/SUM(1+'3.5. Aðrar fjárfest'!AH71))-1</f>
        <v>0.024917229426214327</v>
      </c>
      <c r="AJ18" s="130"/>
      <c r="AK18" s="130">
        <f>(SUM(1+'3.5. Aðrar fjárfest'!AJ70)/SUM(1+'3.5. Aðrar fjárfest'!AJ71))-1</f>
        <v>0.07118769062395147</v>
      </c>
      <c r="AL18" s="130">
        <f>(SUM(1+'3.5. Aðrar fjárfest'!AK70)/SUM(1+'3.5. Aðrar fjárfest'!AK71))-1</f>
        <v>0.07024077459307931</v>
      </c>
      <c r="AM18" s="130">
        <f>(SUM(1+'3.5. Aðrar fjárfest'!AL70)/SUM(1+'3.5. Aðrar fjárfest'!AL71))-1</f>
        <v>0.05703853618640453</v>
      </c>
      <c r="AN18" s="130">
        <f>(SUM(1+'3.5. Aðrar fjárfest'!AM70)/SUM(1+'3.5. Aðrar fjárfest'!AM71))-1</f>
        <v>0.10824937885158747</v>
      </c>
      <c r="AO18" s="130">
        <f>(SUM(1+'3.5. Aðrar fjárfest'!AN70)/SUM(1+'3.5. Aðrar fjárfest'!AN71))-1</f>
        <v>0.10873131020661675</v>
      </c>
      <c r="AP18" s="130">
        <f>(SUM(1+'3.5. Aðrar fjárfest'!AO70)/SUM(1+'3.5. Aðrar fjárfest'!AO71))-1</f>
        <v>0.07789785090715728</v>
      </c>
      <c r="AQ18" s="130">
        <f>(SUM(1+'3.5. Aðrar fjárfest'!AP70)/SUM(1+'3.5. Aðrar fjárfest'!AP71))-1</f>
        <v>0.06101124235382516</v>
      </c>
      <c r="AR18" s="130">
        <f>(SUM(1+'3.5. Aðrar fjárfest'!AQ70)/SUM(1+'3.5. Aðrar fjárfest'!AQ71))-1</f>
        <v>0.0793843813432531</v>
      </c>
      <c r="AS18" s="130">
        <f>(SUM(1+'3.5. Aðrar fjárfest'!AR70)/SUM(1+'3.5. Aðrar fjárfest'!AR71))-1</f>
        <v>0.09420607368527145</v>
      </c>
      <c r="AT18" s="130">
        <f>(SUM(1+'3.5. Aðrar fjárfest'!AS70)/SUM(1+'3.5. Aðrar fjárfest'!AS71))-1</f>
        <v>0.0698865964480766</v>
      </c>
      <c r="AU18" s="130">
        <f>(SUM(1+'3.5. Aðrar fjárfest'!AT70)/SUM(1+'3.5. Aðrar fjárfest'!AT71))-1</f>
        <v>0.07989053435503313</v>
      </c>
      <c r="AV18" s="130">
        <f>(SUM(1+'3.5. Aðrar fjárfest'!AU70)/SUM(1+'3.5. Aðrar fjárfest'!AU71))-1</f>
        <v>0.05534738756009028</v>
      </c>
      <c r="AW18" s="130">
        <f>(SUM(1+'3.5. Aðrar fjárfest'!AV70)/SUM(1+'3.5. Aðrar fjárfest'!AV71))-1</f>
        <v>0.06260278042871192</v>
      </c>
      <c r="AX18" s="130">
        <f>(SUM(1+'3.5. Aðrar fjárfest'!AW70)/SUM(1+'3.5. Aðrar fjárfest'!AW71))-1</f>
        <v>0.07465734609127606</v>
      </c>
      <c r="AY18" s="130">
        <f>(SUM(1+'3.5. Aðrar fjárfest'!AX70)/SUM(1+'3.5. Aðrar fjárfest'!AX71))-1</f>
        <v>0.06384127470149958</v>
      </c>
      <c r="AZ18" s="130"/>
      <c r="BA18" s="130">
        <f>(SUM(1+'3.5. Aðrar fjárfest'!AZ70)/SUM(1+'3.5. Aðrar fjárfest'!AZ71))-1</f>
        <v>0.06857489477311929</v>
      </c>
      <c r="BB18" s="130">
        <f>(SUM(1+'3.5. Aðrar fjárfest'!BA70)/SUM(1+'3.5. Aðrar fjárfest'!BA71))-1</f>
        <v>0.08855451107620893</v>
      </c>
      <c r="BC18" s="130">
        <f>(SUM(1+'3.5. Aðrar fjárfest'!BB70)/SUM(1+'3.5. Aðrar fjárfest'!BB71))-1</f>
        <v>0.08001139187586404</v>
      </c>
      <c r="BD18" s="130">
        <f>(SUM(1+'3.5. Aðrar fjárfest'!BC70)/SUM(1+'3.5. Aðrar fjárfest'!BC71))-1</f>
        <v>0.0632148844206546</v>
      </c>
      <c r="BE18" s="130">
        <f>(SUM(1+'3.5. Aðrar fjárfest'!BD70)/SUM(1+'3.5. Aðrar fjárfest'!BD71))-1</f>
        <v>0.050800747838463334</v>
      </c>
      <c r="BF18" s="130">
        <f>(SUM(1+'3.5. Aðrar fjárfest'!BE70)/SUM(1+'3.5. Aðrar fjárfest'!BE71))-1</f>
        <v>0.04896682774423544</v>
      </c>
      <c r="BG18" s="130">
        <f>(SUM(1+'3.5. Aðrar fjárfest'!BF70)/SUM(1+'3.5. Aðrar fjárfest'!BF71))-1</f>
        <v>0.06868830147595761</v>
      </c>
      <c r="BH18" s="130">
        <f>(SUM(1+'3.5. Aðrar fjárfest'!BG70)/SUM(1+'3.5. Aðrar fjárfest'!BG71))-1</f>
        <v>0.03383382490038711</v>
      </c>
      <c r="BI18" s="130">
        <f>(SUM(1+'3.5. Aðrar fjárfest'!BH70)/SUM(1+'3.5. Aðrar fjárfest'!BH71))-1</f>
        <v>0.09300388614961896</v>
      </c>
      <c r="BJ18" s="130">
        <f>(SUM(1+'3.5. Aðrar fjárfest'!BI70)/SUM(1+'3.5. Aðrar fjárfest'!BI71))-1</f>
        <v>0.05730045134051176</v>
      </c>
      <c r="BK18" s="130">
        <f>(SUM(1+'3.5. Aðrar fjárfest'!BJ70)/SUM(1+'3.5. Aðrar fjárfest'!BJ71))-1</f>
        <v>0.049147691447854136</v>
      </c>
      <c r="BL18"/>
      <c r="BM18" s="130">
        <f>(SUM(1+'3.5. Aðrar fjárfest'!BL70)/SUM(1+'3.5. Aðrar fjárfest'!BL71))-1</f>
        <v>0.053924488100365764</v>
      </c>
      <c r="BN18" s="130">
        <f>(SUM(1+'3.5. Aðrar fjárfest'!BM70)/SUM(1+'3.5. Aðrar fjárfest'!BM71))-1</f>
        <v>0.08278837385857285</v>
      </c>
      <c r="BO18" s="130"/>
      <c r="BP18" s="130"/>
      <c r="BQ18" s="130"/>
      <c r="BR18" s="130"/>
      <c r="BS18" s="130">
        <f>(SUM(1+'3.5. Aðrar fjárfest'!BR70)/SUM(1+'3.5. Aðrar fjárfest'!BR71))-1</f>
        <v>0</v>
      </c>
      <c r="BT18" s="213">
        <f>(SUM(1+'3.5. Aðrar fjárfest'!BS70)/SUM(1+'3.5. Aðrar fjárfest'!BS71))-1</f>
        <v>0.07508744049216243</v>
      </c>
      <c r="BU18" s="213">
        <f>(SUM(1+'3.5. Aðrar fjárfest'!BT70)/SUM(1+'3.5. Aðrar fjárfest'!BT71))-1</f>
        <v>0.06489331635081252</v>
      </c>
      <c r="BV18" s="213">
        <f>(SUM(1+'3.5. Aðrar fjárfest'!BU70)/SUM(1+'3.5. Aðrar fjárfest'!BU71))-1</f>
        <v>0.07407319677332636</v>
      </c>
      <c r="BW18" s="213">
        <f>(SUM(1+'3.5. Aðrar fjárfest'!BV70)/SUM(1+'3.5. Aðrar fjárfest'!BV71))-1</f>
        <v>0.07828383688495544</v>
      </c>
      <c r="BX18" s="213">
        <f>(SUM(1+'3.5. Aðrar fjárfest'!BW70)/SUM(1+'3.5. Aðrar fjárfest'!BW71))-1</f>
        <v>0.0746778885384074</v>
      </c>
      <c r="BY18" s="213">
        <f>(SUM(1+'3.5. Aðrar fjárfest'!BX70)/SUM(1+'3.5. Aðrar fjárfest'!BX71))-1</f>
        <v>0.09539829480243855</v>
      </c>
      <c r="BZ18" s="213"/>
      <c r="CA18" s="213">
        <f>(SUM(1+'3.5. Aðrar fjárfest'!BZ70)/SUM(1+'3.5. Aðrar fjárfest'!BZ71))-1</f>
        <v>0.07508744049216243</v>
      </c>
    </row>
    <row r="19" spans="1:79" ht="12.75">
      <c r="A19" s="47" t="s">
        <v>170</v>
      </c>
      <c r="B19" s="92">
        <v>9</v>
      </c>
      <c r="C19" s="130">
        <f>(SUM(1+'3.5. Aðrar fjárfest'!B76)/SUM(1+'3.5. Aðrar fjárfest'!B71))-1</f>
        <v>0.0764038812268768</v>
      </c>
      <c r="D19" s="130">
        <f>(SUM(1+'3.5. Aðrar fjárfest'!C76)/SUM(1+'3.5. Aðrar fjárfest'!C71))-1</f>
        <v>0.08433835210010732</v>
      </c>
      <c r="E19" s="130">
        <f>(SUM(1+'3.5. Aðrar fjárfest'!D76)/SUM(1+'3.5. Aðrar fjárfest'!D71))-1</f>
        <v>0.05826195812196078</v>
      </c>
      <c r="F19" s="130">
        <f>(SUM(1+'3.5. Aðrar fjárfest'!E76)/SUM(1+'3.5. Aðrar fjárfest'!E71))-1</f>
        <v>0.07913510486239028</v>
      </c>
      <c r="G19" s="130">
        <f>(SUM(1+'3.5. Aðrar fjárfest'!F76)/SUM(1+'3.5. Aðrar fjárfest'!F71))-1</f>
        <v>0.07211636922651565</v>
      </c>
      <c r="H19" s="130">
        <f>(SUM(1+'3.5. Aðrar fjárfest'!G76)/SUM(1+'3.5. Aðrar fjárfest'!G71))-1</f>
        <v>0.10107510603649228</v>
      </c>
      <c r="I19" s="130">
        <f>(SUM(1+'3.5. Aðrar fjárfest'!H76)/SUM(1+'3.5. Aðrar fjárfest'!H71))-1</f>
        <v>0.06358953446311078</v>
      </c>
      <c r="J19" s="130"/>
      <c r="K19" s="130">
        <f>(SUM(1+'3.5. Aðrar fjárfest'!J76)/SUM(1+'3.5. Aðrar fjárfest'!J71))-1</f>
        <v>0.07242443896370099</v>
      </c>
      <c r="L19" s="130">
        <f>(SUM(1+'3.5. Aðrar fjárfest'!K76)/SUM(1+'3.5. Aðrar fjárfest'!K71))-1</f>
        <v>0.051079009623668625</v>
      </c>
      <c r="M19" s="130">
        <f>(SUM(1+'3.5. Aðrar fjárfest'!L76)/SUM(1+'3.5. Aðrar fjárfest'!L71))-1</f>
        <v>0.016832780238535516</v>
      </c>
      <c r="N19" s="130">
        <f>(SUM(1+'3.5. Aðrar fjárfest'!M76)/SUM(1+'3.5. Aðrar fjárfest'!M71))-1</f>
        <v>0.08681867172794644</v>
      </c>
      <c r="O19" s="130">
        <f>(SUM(1+'3.5. Aðrar fjárfest'!N76)/SUM(1+'3.5. Aðrar fjárfest'!N71))-1</f>
        <v>0.07759139656638658</v>
      </c>
      <c r="P19" s="130">
        <f>(SUM(1+'3.5. Aðrar fjárfest'!O76)/SUM(1+'3.5. Aðrar fjárfest'!O71))-1</f>
        <v>0.07987770379566883</v>
      </c>
      <c r="Q19" s="130">
        <f>(SUM(1+'3.5. Aðrar fjárfest'!P76)/SUM(1+'3.5. Aðrar fjárfest'!P71))-1</f>
        <v>0.08997431784955001</v>
      </c>
      <c r="R19" s="130">
        <f>(SUM(1+'3.5. Aðrar fjárfest'!Q76)/SUM(1+'3.5. Aðrar fjárfest'!Q71))-1</f>
        <v>0.07106149399316619</v>
      </c>
      <c r="S19" s="130">
        <f>(SUM(1+'3.5. Aðrar fjárfest'!R76)/SUM(1+'3.5. Aðrar fjárfest'!R71))-1</f>
        <v>0.10977087790478679</v>
      </c>
      <c r="T19" s="130">
        <f>(SUM(1+'3.5. Aðrar fjárfest'!S76)/SUM(1+'3.5. Aðrar fjárfest'!S71))-1</f>
        <v>0.06649677423950173</v>
      </c>
      <c r="U19" s="130">
        <f>(SUM(1+'3.5. Aðrar fjárfest'!T76)/SUM(1+'3.5. Aðrar fjárfest'!T71))-1</f>
        <v>0.0993049142015956</v>
      </c>
      <c r="V19" s="130">
        <f>(SUM(1+'3.5. Aðrar fjárfest'!U76)/SUM(1+'3.5. Aðrar fjárfest'!U71))-1</f>
        <v>0.09996506896973423</v>
      </c>
      <c r="W19" s="130">
        <f>(SUM(1+'3.5. Aðrar fjárfest'!V76)/SUM(1+'3.5. Aðrar fjárfest'!V71))-1</f>
        <v>0.0673601139736586</v>
      </c>
      <c r="X19" s="130">
        <f>(SUM(1+'3.5. Aðrar fjárfest'!W76)/SUM(1+'3.5. Aðrar fjárfest'!W71))-1</f>
        <v>0.0651343863132543</v>
      </c>
      <c r="Y19"/>
      <c r="Z19" s="130">
        <v>0.0667</v>
      </c>
      <c r="AA19" s="130">
        <f>(SUM(1+'3.5. Aðrar fjárfest'!Z76)/SUM(1+'3.5. Aðrar fjárfest'!Z71))-1</f>
        <v>0.06933030400885754</v>
      </c>
      <c r="AB19" s="130"/>
      <c r="AC19" s="130">
        <f>(SUM(1+'3.5. Aðrar fjárfest'!AB76)/SUM(1+'3.5. Aðrar fjárfest'!AB71))-1</f>
        <v>0.049204291223801544</v>
      </c>
      <c r="AD19" s="130">
        <f>(SUM(1+'3.5. Aðrar fjárfest'!AC76)/SUM(1+'3.5. Aðrar fjárfest'!AC71))-1</f>
        <v>0.06630352460678868</v>
      </c>
      <c r="AE19" s="130">
        <f>(SUM(1+'3.5. Aðrar fjárfest'!AD76)/SUM(1+'3.5. Aðrar fjárfest'!AD71))-1</f>
        <v>0.06253440291557077</v>
      </c>
      <c r="AF19" s="130">
        <f>(SUM(1+'3.5. Aðrar fjárfest'!AE76)/SUM(1+'3.5. Aðrar fjárfest'!AE71))-1</f>
        <v>0.11055502601927825</v>
      </c>
      <c r="AG19"/>
      <c r="AH19" s="130">
        <f>(SUM(1+'3.5. Aðrar fjárfest'!AG76)/SUM(1+'3.5. Aðrar fjárfest'!AG71))-1</f>
        <v>0.10460740641694466</v>
      </c>
      <c r="AI19" s="130">
        <f>(SUM(1+'3.5. Aðrar fjárfest'!AH76)/SUM(1+'3.5. Aðrar fjárfest'!AH71))-1</f>
        <v>0.023679107294379387</v>
      </c>
      <c r="AJ19" s="130"/>
      <c r="AK19" s="130">
        <f>(SUM(1+'3.5. Aðrar fjárfest'!AJ76)/SUM(1+'3.5. Aðrar fjárfest'!AJ71))-1</f>
        <v>0.07054823637366425</v>
      </c>
      <c r="AL19" s="130">
        <f>(SUM(1+'3.5. Aðrar fjárfest'!AK76)/SUM(1+'3.5. Aðrar fjárfest'!AK71))-1</f>
        <v>0.06813563267671685</v>
      </c>
      <c r="AM19" s="130">
        <f>(SUM(1+'3.5. Aðrar fjárfest'!AL76)/SUM(1+'3.5. Aðrar fjárfest'!AL71))-1</f>
        <v>0.05530144503823431</v>
      </c>
      <c r="AN19" s="130">
        <f>(SUM(1+'3.5. Aðrar fjárfest'!AM76)/SUM(1+'3.5. Aðrar fjárfest'!AM71))-1</f>
        <v>0.10677862132088656</v>
      </c>
      <c r="AO19" s="130">
        <f>(SUM(1+'3.5. Aðrar fjárfest'!AN76)/SUM(1+'3.5. Aðrar fjárfest'!AN71))-1</f>
        <v>0.10870747302366279</v>
      </c>
      <c r="AP19" s="130">
        <f>(SUM(1+'3.5. Aðrar fjárfest'!AO76)/SUM(1+'3.5. Aðrar fjárfest'!AO71))-1</f>
        <v>0.07627587261127888</v>
      </c>
      <c r="AQ19" s="130">
        <f>(SUM(1+'3.5. Aðrar fjárfest'!AP76)/SUM(1+'3.5. Aðrar fjárfest'!AP71))-1</f>
        <v>0.06021131573592031</v>
      </c>
      <c r="AR19" s="130">
        <f>(SUM(1+'3.5. Aðrar fjárfest'!AQ76)/SUM(1+'3.5. Aðrar fjárfest'!AQ71))-1</f>
        <v>0.07545082561777439</v>
      </c>
      <c r="AS19" s="130">
        <f>(SUM(1+'3.5. Aðrar fjárfest'!AR76)/SUM(1+'3.5. Aðrar fjárfest'!AR71))-1</f>
        <v>0.09271688645606768</v>
      </c>
      <c r="AT19" s="130">
        <f>(SUM(1+'3.5. Aðrar fjárfest'!AS76)/SUM(1+'3.5. Aðrar fjárfest'!AS71))-1</f>
        <v>0.06735306360219218</v>
      </c>
      <c r="AU19" s="130">
        <f>(SUM(1+'3.5. Aðrar fjárfest'!AT76)/SUM(1+'3.5. Aðrar fjárfest'!AT71))-1</f>
        <v>0.07880452141294203</v>
      </c>
      <c r="AV19" s="130">
        <f>(SUM(1+'3.5. Aðrar fjárfest'!AU76)/SUM(1+'3.5. Aðrar fjárfest'!AU71))-1</f>
        <v>0.05207860563661715</v>
      </c>
      <c r="AW19" s="130">
        <f>(SUM(1+'3.5. Aðrar fjárfest'!AV76)/SUM(1+'3.5. Aðrar fjárfest'!AV71))-1</f>
        <v>0.061285149923911764</v>
      </c>
      <c r="AX19" s="130">
        <f>(SUM(1+'3.5. Aðrar fjárfest'!AW76)/SUM(1+'3.5. Aðrar fjárfest'!AW71))-1</f>
        <v>0.06975184309783167</v>
      </c>
      <c r="AY19" s="130">
        <f>(SUM(1+'3.5. Aðrar fjárfest'!AX76)/SUM(1+'3.5. Aðrar fjárfest'!AX71))-1</f>
        <v>0.06025170126911639</v>
      </c>
      <c r="AZ19" s="130"/>
      <c r="BA19" s="130">
        <f>(SUM(1+'3.5. Aðrar fjárfest'!AZ76)/SUM(1+'3.5. Aðrar fjárfest'!AZ71))-1</f>
        <v>0.06511542242294288</v>
      </c>
      <c r="BB19" s="130">
        <f>(SUM(1+'3.5. Aðrar fjárfest'!BA76)/SUM(1+'3.5. Aðrar fjárfest'!BA71))-1</f>
        <v>0.08802465944747873</v>
      </c>
      <c r="BC19" s="130">
        <f>(SUM(1+'3.5. Aðrar fjárfest'!BB76)/SUM(1+'3.5. Aðrar fjárfest'!BB71))-1</f>
        <v>0.07947625131467739</v>
      </c>
      <c r="BD19" s="130">
        <f>(SUM(1+'3.5. Aðrar fjárfest'!BC76)/SUM(1+'3.5. Aðrar fjárfest'!BC71))-1</f>
        <v>0.05963371809994911</v>
      </c>
      <c r="BE19" s="130">
        <f>(SUM(1+'3.5. Aðrar fjárfest'!BD76)/SUM(1+'3.5. Aðrar fjárfest'!BD71))-1</f>
        <v>0.046568238821847796</v>
      </c>
      <c r="BF19" s="130">
        <f>(SUM(1+'3.5. Aðrar fjárfest'!BE76)/SUM(1+'3.5. Aðrar fjárfest'!BE71))-1</f>
        <v>0.03917290931611683</v>
      </c>
      <c r="BG19" s="130">
        <f>(SUM(1+'3.5. Aðrar fjárfest'!BF76)/SUM(1+'3.5. Aðrar fjárfest'!BF71))-1</f>
        <v>0.06252946203736509</v>
      </c>
      <c r="BH19" s="130">
        <f>(SUM(1+'3.5. Aðrar fjárfest'!BG76)/SUM(1+'3.5. Aðrar fjárfest'!BG71))-1</f>
        <v>0.03191028400568374</v>
      </c>
      <c r="BI19" s="130">
        <f>(SUM(1+'3.5. Aðrar fjárfest'!BH76)/SUM(1+'3.5. Aðrar fjárfest'!BH71))-1</f>
        <v>0.09180170582417269</v>
      </c>
      <c r="BJ19" s="130">
        <f>(SUM(1+'3.5. Aðrar fjárfest'!BI76)/SUM(1+'3.5. Aðrar fjárfest'!BI71))-1</f>
        <v>0.050482417047367445</v>
      </c>
      <c r="BK19" s="130">
        <f>(SUM(1+'3.5. Aðrar fjárfest'!BJ76)/SUM(1+'3.5. Aðrar fjárfest'!BJ71))-1</f>
        <v>0.041557507412834926</v>
      </c>
      <c r="BL19"/>
      <c r="BM19" s="130">
        <f>(SUM(1+'3.5. Aðrar fjárfest'!BL76)/SUM(1+'3.5. Aðrar fjárfest'!BL71))-1</f>
        <v>0.053924488100365764</v>
      </c>
      <c r="BN19" s="130">
        <f>(SUM(1+'3.5. Aðrar fjárfest'!BM76)/SUM(1+'3.5. Aðrar fjárfest'!BM71))-1</f>
        <v>0.07826615630859446</v>
      </c>
      <c r="BO19" s="130"/>
      <c r="BP19" s="130"/>
      <c r="BQ19" s="130"/>
      <c r="BR19" s="130"/>
      <c r="BS19" s="130">
        <f>(SUM(1+'3.5. Aðrar fjárfest'!BR76)/SUM(1+'3.5. Aðrar fjárfest'!BR71))-1</f>
        <v>0</v>
      </c>
      <c r="BT19" s="213">
        <f>(SUM(1+'3.5. Aðrar fjárfest'!BS76)/SUM(1+'3.5. Aðrar fjárfest'!BS71))-1</f>
        <v>0.07378555085930194</v>
      </c>
      <c r="BU19" s="213">
        <f>(SUM(1+'3.5. Aðrar fjárfest'!BT76)/SUM(1+'3.5. Aðrar fjárfest'!BT71))-1</f>
        <v>0.06313082863297326</v>
      </c>
      <c r="BV19" s="213">
        <f>(SUM(1+'3.5. Aðrar fjárfest'!BU76)/SUM(1+'3.5. Aðrar fjárfest'!BU71))-1</f>
        <v>0.07259804375627232</v>
      </c>
      <c r="BW19" s="213">
        <f>(SUM(1+'3.5. Aðrar fjárfest'!BV76)/SUM(1+'3.5. Aðrar fjárfest'!BV71))-1</f>
        <v>0.0772511662375095</v>
      </c>
      <c r="BX19" s="213">
        <f>(SUM(1+'3.5. Aðrar fjárfest'!BW76)/SUM(1+'3.5. Aðrar fjárfest'!BW71))-1</f>
        <v>0.07336481256127203</v>
      </c>
      <c r="BY19" s="213">
        <f>(SUM(1+'3.5. Aðrar fjárfest'!BX76)/SUM(1+'3.5. Aðrar fjárfest'!BX71))-1</f>
        <v>0.094657032229013</v>
      </c>
      <c r="BZ19" s="213"/>
      <c r="CA19" s="213">
        <f>(SUM(1+'3.5. Aðrar fjárfest'!BZ76)/SUM(1+'3.5. Aðrar fjárfest'!BZ71))-1</f>
        <v>0.07378555085930194</v>
      </c>
    </row>
    <row r="20" spans="1:82" ht="12.75" customHeight="1">
      <c r="A20" s="200" t="s">
        <v>587</v>
      </c>
      <c r="B20" s="92">
        <v>10</v>
      </c>
      <c r="C20" s="38">
        <v>0.077</v>
      </c>
      <c r="D20" s="38">
        <v>0.0806</v>
      </c>
      <c r="E20" s="38">
        <v>0.055</v>
      </c>
      <c r="F20" s="38">
        <v>0.0728</v>
      </c>
      <c r="G20" s="38">
        <v>0.077</v>
      </c>
      <c r="H20" s="38"/>
      <c r="I20" s="38">
        <v>0.0733</v>
      </c>
      <c r="J20" s="38"/>
      <c r="K20" s="38">
        <v>0.081</v>
      </c>
      <c r="L20" s="38">
        <v>0.0784</v>
      </c>
      <c r="M20" s="38">
        <v>0.0873</v>
      </c>
      <c r="N20" s="38">
        <v>0.0731</v>
      </c>
      <c r="O20" s="38">
        <v>0.0755</v>
      </c>
      <c r="P20" s="38">
        <v>0.0859</v>
      </c>
      <c r="Q20" s="38">
        <v>0.0762</v>
      </c>
      <c r="R20" s="38">
        <v>0.0754</v>
      </c>
      <c r="S20" s="38">
        <v>0.0678</v>
      </c>
      <c r="T20" s="38">
        <v>0.09</v>
      </c>
      <c r="U20" s="38">
        <v>0.0674</v>
      </c>
      <c r="V20" s="38">
        <v>0.058</v>
      </c>
      <c r="W20" s="38">
        <v>0.0666</v>
      </c>
      <c r="X20" s="38">
        <v>0.0618</v>
      </c>
      <c r="Y20"/>
      <c r="Z20" s="38"/>
      <c r="AA20" s="38"/>
      <c r="AB20" s="38"/>
      <c r="AC20" s="38">
        <v>0.046</v>
      </c>
      <c r="AD20" s="38">
        <v>0.0619</v>
      </c>
      <c r="AE20" s="38"/>
      <c r="AF20" s="38">
        <v>0.0813</v>
      </c>
      <c r="AG20"/>
      <c r="AH20" s="38">
        <v>0.0708</v>
      </c>
      <c r="AI20" s="38">
        <v>0.101</v>
      </c>
      <c r="AJ20" s="38"/>
      <c r="AK20" s="38">
        <v>0.0713</v>
      </c>
      <c r="AL20" s="38">
        <v>0.067</v>
      </c>
      <c r="AM20" s="38">
        <v>0.056</v>
      </c>
      <c r="AN20" s="38">
        <v>0.0746</v>
      </c>
      <c r="AO20" s="38">
        <v>0.0745</v>
      </c>
      <c r="AP20" s="38">
        <v>0.0794</v>
      </c>
      <c r="AQ20" s="38">
        <v>0.061</v>
      </c>
      <c r="AR20" s="38"/>
      <c r="AS20" s="38"/>
      <c r="AT20" s="38">
        <v>0.0636</v>
      </c>
      <c r="AU20" s="38"/>
      <c r="AV20" s="38">
        <v>0.056</v>
      </c>
      <c r="AW20" s="38">
        <v>0.068</v>
      </c>
      <c r="AX20" s="38">
        <v>0.071</v>
      </c>
      <c r="AY20" s="38">
        <v>0.0641</v>
      </c>
      <c r="AZ20" s="38"/>
      <c r="BA20" s="38">
        <v>0.064</v>
      </c>
      <c r="BB20" s="38">
        <v>0.0799</v>
      </c>
      <c r="BC20" s="38">
        <v>0.069</v>
      </c>
      <c r="BD20" s="38">
        <v>0.0539</v>
      </c>
      <c r="BE20" s="38">
        <v>0.046</v>
      </c>
      <c r="BF20" s="38">
        <v>0.038</v>
      </c>
      <c r="BG20" s="38"/>
      <c r="BH20" s="38">
        <v>0.05</v>
      </c>
      <c r="BI20" s="38">
        <v>0.062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</row>
    <row r="21" spans="1:79" s="75" customFormat="1" ht="18" customHeight="1">
      <c r="A21" s="47" t="s">
        <v>171</v>
      </c>
      <c r="B21" s="92">
        <v>11</v>
      </c>
      <c r="C21" s="10">
        <v>22990</v>
      </c>
      <c r="D21" s="10">
        <v>16146</v>
      </c>
      <c r="E21" s="10">
        <v>12639</v>
      </c>
      <c r="F21" s="10">
        <v>4146</v>
      </c>
      <c r="G21" s="10">
        <v>7214</v>
      </c>
      <c r="H21" s="10">
        <v>6480</v>
      </c>
      <c r="I21" s="10">
        <v>6748</v>
      </c>
      <c r="J21" s="10">
        <v>1443</v>
      </c>
      <c r="K21" s="10">
        <v>3116</v>
      </c>
      <c r="L21" s="10">
        <v>3281</v>
      </c>
      <c r="M21" s="10">
        <v>3905</v>
      </c>
      <c r="N21" s="10">
        <v>5282</v>
      </c>
      <c r="O21" s="10">
        <v>2619</v>
      </c>
      <c r="P21" s="10">
        <v>1052</v>
      </c>
      <c r="Q21" s="10">
        <v>3175</v>
      </c>
      <c r="R21" s="10">
        <v>1730</v>
      </c>
      <c r="S21" s="10">
        <v>1497</v>
      </c>
      <c r="T21" s="10">
        <v>2545</v>
      </c>
      <c r="U21" s="10">
        <v>2506</v>
      </c>
      <c r="V21" s="10">
        <v>649</v>
      </c>
      <c r="W21" s="10">
        <v>299</v>
      </c>
      <c r="X21" s="10">
        <v>1092</v>
      </c>
      <c r="Y21" s="10">
        <v>2353</v>
      </c>
      <c r="Z21" s="10">
        <v>866</v>
      </c>
      <c r="AA21" s="10">
        <v>2248</v>
      </c>
      <c r="AB21" s="10">
        <v>9805</v>
      </c>
      <c r="AC21" s="10">
        <v>3581</v>
      </c>
      <c r="AD21" s="10">
        <v>1021</v>
      </c>
      <c r="AE21" s="10">
        <v>652</v>
      </c>
      <c r="AF21" s="10">
        <v>0</v>
      </c>
      <c r="AG21" s="10">
        <v>1495</v>
      </c>
      <c r="AH21" s="10">
        <v>0</v>
      </c>
      <c r="AI21" s="10">
        <v>378</v>
      </c>
      <c r="AJ21" s="10">
        <v>3527</v>
      </c>
      <c r="AK21" s="10">
        <v>220</v>
      </c>
      <c r="AL21" s="10">
        <v>702</v>
      </c>
      <c r="AM21" s="10">
        <v>620</v>
      </c>
      <c r="AN21" s="10">
        <v>165</v>
      </c>
      <c r="AO21" s="10">
        <v>282</v>
      </c>
      <c r="AP21" s="10">
        <v>407</v>
      </c>
      <c r="AQ21" s="10">
        <v>0</v>
      </c>
      <c r="AR21" s="10">
        <v>478</v>
      </c>
      <c r="AS21" s="10">
        <v>167.5</v>
      </c>
      <c r="AT21" s="10">
        <v>464</v>
      </c>
      <c r="AU21" s="10">
        <v>88</v>
      </c>
      <c r="AV21" s="10">
        <v>489</v>
      </c>
      <c r="AW21" s="10">
        <v>237</v>
      </c>
      <c r="AX21" s="10">
        <v>0</v>
      </c>
      <c r="AY21" s="10">
        <v>0</v>
      </c>
      <c r="AZ21" s="10">
        <v>524</v>
      </c>
      <c r="BA21" s="10">
        <v>0</v>
      </c>
      <c r="BB21" s="10">
        <v>0</v>
      </c>
      <c r="BC21" s="10">
        <v>0</v>
      </c>
      <c r="BD21" s="10">
        <v>228</v>
      </c>
      <c r="BE21" s="10">
        <v>73</v>
      </c>
      <c r="BF21" s="10">
        <v>0</v>
      </c>
      <c r="BG21" s="10">
        <v>0</v>
      </c>
      <c r="BH21" s="10">
        <v>39</v>
      </c>
      <c r="BI21" s="10">
        <v>16</v>
      </c>
      <c r="BJ21" s="10">
        <v>46</v>
      </c>
      <c r="BK21" s="10">
        <v>146</v>
      </c>
      <c r="BL21" s="10"/>
      <c r="BM21" s="10">
        <v>0</v>
      </c>
      <c r="BN21" s="10">
        <v>0</v>
      </c>
      <c r="BO21" s="10">
        <v>65</v>
      </c>
      <c r="BP21" s="10">
        <v>11</v>
      </c>
      <c r="BQ21" s="10"/>
      <c r="BR21" s="10"/>
      <c r="BS21" s="10"/>
      <c r="BT21" s="10">
        <f>SUM(C21:BP21)</f>
        <v>141947.5</v>
      </c>
      <c r="BU21" s="10">
        <f>SUM(E21+X21+AB21+AC21+AF21+AH21+AP21+AR21+AT21+AW21+BD21+BE21+BF21+BH21+BK21+BL21+BM21+BO21+BP21)</f>
        <v>29265</v>
      </c>
      <c r="BV21" s="10">
        <f>SUM(D21+G21+H21+L21+M21+O21+Q21+R21+T21+AA21+AL21+AM21+AV21)</f>
        <v>51154</v>
      </c>
      <c r="BW21" s="10">
        <f>SUM(C21+F21+I21+J21+K21+N21+P21+S21+V21+W21+Z21+AD21+AE21+AI21+AK21+AN21+AO21+AQ21+AX21+AY21+BA21+BC21+BG21+BN21)</f>
        <v>50806</v>
      </c>
      <c r="BX21" s="10">
        <f>SUM(BU21:BW21)</f>
        <v>131225</v>
      </c>
      <c r="BY21" s="10">
        <f>SUM(U21+Y21+AG21+AJ21+AS21+AU21+AZ21+BB21+BI21+BJ21)</f>
        <v>10722.5</v>
      </c>
      <c r="BZ21" s="10"/>
      <c r="CA21" s="10">
        <f>SUM(BX21:BY21)</f>
        <v>141947.5</v>
      </c>
    </row>
    <row r="22" spans="1:79" s="75" customFormat="1" ht="12.75">
      <c r="A22" s="47" t="s">
        <v>172</v>
      </c>
      <c r="B22" s="92">
        <v>12</v>
      </c>
      <c r="C22" s="10">
        <v>3712</v>
      </c>
      <c r="D22" s="10">
        <v>7601</v>
      </c>
      <c r="E22" s="10">
        <v>6323</v>
      </c>
      <c r="F22" s="10">
        <v>2421</v>
      </c>
      <c r="G22" s="10">
        <v>2708</v>
      </c>
      <c r="H22" s="10">
        <v>2057</v>
      </c>
      <c r="I22" s="10">
        <v>908</v>
      </c>
      <c r="J22" s="10">
        <v>335</v>
      </c>
      <c r="K22" s="10">
        <v>1873</v>
      </c>
      <c r="L22" s="10">
        <v>338</v>
      </c>
      <c r="M22" s="10">
        <v>996</v>
      </c>
      <c r="N22" s="10">
        <v>3506</v>
      </c>
      <c r="O22" s="10">
        <v>752</v>
      </c>
      <c r="P22" s="10">
        <v>115</v>
      </c>
      <c r="Q22" s="10">
        <v>1095</v>
      </c>
      <c r="R22" s="10">
        <v>540</v>
      </c>
      <c r="S22" s="10">
        <v>88</v>
      </c>
      <c r="T22" s="10">
        <v>952</v>
      </c>
      <c r="U22" s="10">
        <v>43</v>
      </c>
      <c r="V22" s="10">
        <v>125</v>
      </c>
      <c r="W22" s="10">
        <v>69</v>
      </c>
      <c r="X22" s="10">
        <v>356</v>
      </c>
      <c r="Y22" s="10">
        <v>34</v>
      </c>
      <c r="Z22" s="10">
        <v>18</v>
      </c>
      <c r="AA22" s="10">
        <v>665</v>
      </c>
      <c r="AB22" s="10">
        <v>0</v>
      </c>
      <c r="AC22" s="10">
        <v>1363</v>
      </c>
      <c r="AD22" s="10">
        <v>513</v>
      </c>
      <c r="AE22" s="10">
        <v>368</v>
      </c>
      <c r="AF22" s="10">
        <v>190</v>
      </c>
      <c r="AG22" s="10">
        <v>29</v>
      </c>
      <c r="AH22" s="10">
        <v>81</v>
      </c>
      <c r="AI22" s="10">
        <v>112</v>
      </c>
      <c r="AJ22" s="10">
        <v>4</v>
      </c>
      <c r="AK22" s="10">
        <v>93</v>
      </c>
      <c r="AL22" s="10">
        <v>121</v>
      </c>
      <c r="AM22" s="10">
        <v>180</v>
      </c>
      <c r="AN22" s="10">
        <v>18</v>
      </c>
      <c r="AO22" s="10">
        <v>50</v>
      </c>
      <c r="AP22" s="10">
        <v>106</v>
      </c>
      <c r="AQ22" s="10">
        <v>218</v>
      </c>
      <c r="AR22" s="10">
        <v>149</v>
      </c>
      <c r="AS22" s="10">
        <v>11.5</v>
      </c>
      <c r="AT22" s="10">
        <v>176</v>
      </c>
      <c r="AU22" s="10">
        <v>20</v>
      </c>
      <c r="AV22" s="10">
        <v>158</v>
      </c>
      <c r="AW22" s="10">
        <v>97</v>
      </c>
      <c r="AX22" s="10">
        <v>190</v>
      </c>
      <c r="AY22" s="10">
        <v>74</v>
      </c>
      <c r="AZ22" s="10">
        <v>1</v>
      </c>
      <c r="BA22" s="10">
        <v>108</v>
      </c>
      <c r="BB22" s="10">
        <v>11.5</v>
      </c>
      <c r="BC22" s="10">
        <v>106</v>
      </c>
      <c r="BD22" s="10">
        <v>72</v>
      </c>
      <c r="BE22" s="10">
        <v>47</v>
      </c>
      <c r="BF22" s="10">
        <v>105</v>
      </c>
      <c r="BG22" s="10">
        <v>305</v>
      </c>
      <c r="BH22" s="10">
        <v>31</v>
      </c>
      <c r="BI22" s="10">
        <v>6</v>
      </c>
      <c r="BJ22" s="10">
        <v>1</v>
      </c>
      <c r="BK22" s="10">
        <v>113</v>
      </c>
      <c r="BL22" s="10"/>
      <c r="BM22" s="10">
        <v>18</v>
      </c>
      <c r="BN22" s="10">
        <v>4</v>
      </c>
      <c r="BO22" s="10">
        <v>171</v>
      </c>
      <c r="BP22" s="10">
        <v>26</v>
      </c>
      <c r="BQ22" s="10"/>
      <c r="BR22" s="10"/>
      <c r="BS22" s="10"/>
      <c r="BT22" s="10">
        <f>SUM(C22:BP22)</f>
        <v>43077</v>
      </c>
      <c r="BU22" s="10">
        <f>SUM(E22+X22+AB22+AC22+AF22+AH22+AP22+AR22+AT22+AW22+BD22+BE22+BF22+BH22+BK22+BL22+BM22+BO22+BP22)</f>
        <v>9424</v>
      </c>
      <c r="BV22" s="10">
        <f>SUM(D22+G22+H22+L22+M22+O22+Q22+R22+T22+AA22+AL22+AM22+AV22)</f>
        <v>18163</v>
      </c>
      <c r="BW22" s="10">
        <f>SUM(C22+F22+I22+J22+K22+N22+P22+S22+V22+W22+Z22+AD22+AE22+AI22+AK22+AN22+AO22+AQ22+AX22+AY22+BA22+BC22+BG22+BN22)</f>
        <v>15329</v>
      </c>
      <c r="BX22" s="10">
        <f>SUM(BU22:BW22)</f>
        <v>42916</v>
      </c>
      <c r="BY22" s="10">
        <f>SUM(U22+Y22+AG22+AJ22+AS22+AU22+AZ22+BB22+BI22+BJ22)</f>
        <v>161</v>
      </c>
      <c r="BZ22" s="10"/>
      <c r="CA22" s="10">
        <f>SUM(BX22:BY22)</f>
        <v>43077</v>
      </c>
    </row>
    <row r="23" spans="1:95" ht="12.75">
      <c r="A23" s="47" t="s">
        <v>173</v>
      </c>
      <c r="B23" s="92">
        <v>13</v>
      </c>
      <c r="C23" s="189">
        <v>19.2</v>
      </c>
      <c r="D23" s="189">
        <v>12</v>
      </c>
      <c r="E23" s="189">
        <v>18</v>
      </c>
      <c r="F23" s="189">
        <v>8.3</v>
      </c>
      <c r="G23" s="189">
        <v>13</v>
      </c>
      <c r="H23" s="189">
        <v>4.5</v>
      </c>
      <c r="I23" s="189">
        <v>3.1</v>
      </c>
      <c r="J23" s="189">
        <v>2</v>
      </c>
      <c r="K23" s="189">
        <v>5</v>
      </c>
      <c r="L23" s="189">
        <v>5.2</v>
      </c>
      <c r="M23" s="189">
        <v>7</v>
      </c>
      <c r="N23" s="189">
        <v>3.6</v>
      </c>
      <c r="O23" s="189">
        <v>3</v>
      </c>
      <c r="P23" s="189">
        <v>1.5</v>
      </c>
      <c r="Q23" s="189">
        <v>4.1</v>
      </c>
      <c r="R23" s="189">
        <v>3.5</v>
      </c>
      <c r="S23" s="189">
        <v>4</v>
      </c>
      <c r="T23" s="189">
        <v>2.7</v>
      </c>
      <c r="U23" s="189">
        <v>0</v>
      </c>
      <c r="V23" s="189">
        <v>0</v>
      </c>
      <c r="W23" s="189">
        <v>0</v>
      </c>
      <c r="X23" s="189">
        <v>2.1</v>
      </c>
      <c r="Y23" s="189">
        <v>0</v>
      </c>
      <c r="Z23" s="189">
        <v>0</v>
      </c>
      <c r="AA23" s="189">
        <v>2</v>
      </c>
      <c r="AB23" s="189">
        <v>3</v>
      </c>
      <c r="AC23" s="189">
        <v>1</v>
      </c>
      <c r="AD23" s="189">
        <v>2</v>
      </c>
      <c r="AE23" s="189">
        <v>1</v>
      </c>
      <c r="AF23" s="189">
        <v>0</v>
      </c>
      <c r="AG23" s="189">
        <v>0</v>
      </c>
      <c r="AH23" s="189">
        <v>0</v>
      </c>
      <c r="AI23" s="189">
        <v>1</v>
      </c>
      <c r="AJ23" s="189">
        <v>0</v>
      </c>
      <c r="AK23" s="189">
        <v>0</v>
      </c>
      <c r="AL23" s="189">
        <v>0</v>
      </c>
      <c r="AM23" s="189">
        <v>1</v>
      </c>
      <c r="AN23" s="189">
        <v>0</v>
      </c>
      <c r="AO23" s="189">
        <v>0</v>
      </c>
      <c r="AP23" s="189">
        <v>0.75</v>
      </c>
      <c r="AQ23" s="189">
        <v>0</v>
      </c>
      <c r="AR23" s="189">
        <v>1</v>
      </c>
      <c r="AS23" s="189">
        <v>0</v>
      </c>
      <c r="AT23" s="189">
        <v>0.5</v>
      </c>
      <c r="AU23" s="189">
        <v>0</v>
      </c>
      <c r="AV23" s="189">
        <v>0</v>
      </c>
      <c r="AW23" s="189">
        <v>0</v>
      </c>
      <c r="AX23" s="189">
        <v>0</v>
      </c>
      <c r="AY23" s="189">
        <v>0</v>
      </c>
      <c r="AZ23" s="189">
        <v>0</v>
      </c>
      <c r="BA23" s="189">
        <v>0</v>
      </c>
      <c r="BB23" s="189">
        <v>0</v>
      </c>
      <c r="BC23" s="189">
        <v>0.46</v>
      </c>
      <c r="BD23" s="189">
        <v>0.5</v>
      </c>
      <c r="BE23" s="189">
        <v>0</v>
      </c>
      <c r="BF23" s="189">
        <v>0</v>
      </c>
      <c r="BG23" s="189">
        <v>0.1</v>
      </c>
      <c r="BH23" s="189">
        <v>0</v>
      </c>
      <c r="BI23" s="189">
        <v>0</v>
      </c>
      <c r="BJ23" s="189">
        <v>0</v>
      </c>
      <c r="BK23" s="189">
        <v>0</v>
      </c>
      <c r="BL23" s="189"/>
      <c r="BM23" s="189">
        <v>0</v>
      </c>
      <c r="BN23" s="189">
        <v>0</v>
      </c>
      <c r="BO23" s="189">
        <v>0.25</v>
      </c>
      <c r="BP23" s="189">
        <v>0.04</v>
      </c>
      <c r="BQ23" s="189"/>
      <c r="BR23" s="189"/>
      <c r="BS23" s="189"/>
      <c r="BT23" s="189">
        <f>SUM(C23:BP23)</f>
        <v>136.39999999999998</v>
      </c>
      <c r="BU23" s="189">
        <f>SUM(E23+X23+AB23+AC23+AF23+AH23+AP23+AR23+AT23+AW23+BD23+BE23+BF23+BH23+BK23+BL23+BM23+BO23+BP23)</f>
        <v>27.14</v>
      </c>
      <c r="BV23" s="189">
        <f>SUM(D23+G23+H23+L23+M23+O23+Q23+R23+T23+AA23+AL23+AM23+AV23)</f>
        <v>58.00000000000001</v>
      </c>
      <c r="BW23" s="189">
        <f>SUM(C23+F23+I23+J23+K23+N23+P23+S23+V23+W23+Z23+AD23+AE23+AI23+AK23+AN23+AO23+AQ23+AX23+AY23+BA23+BC23+BG23+BN23)</f>
        <v>51.260000000000005</v>
      </c>
      <c r="BX23" s="189">
        <f>SUM(BU23:BW23)</f>
        <v>136.40000000000003</v>
      </c>
      <c r="BY23" s="189">
        <f>SUM(U23+Y23+AG23+AJ23+AS23+AU23+AZ23+BB23+BI23+BJ23)</f>
        <v>0</v>
      </c>
      <c r="BZ23" s="189"/>
      <c r="CA23" s="189">
        <f>SUM(BX23:BY23)</f>
        <v>136.40000000000003</v>
      </c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</row>
    <row r="24" spans="1:79" ht="4.5" customHeight="1">
      <c r="A24" s="47"/>
      <c r="B24" s="92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0"/>
      <c r="BV24" s="15"/>
      <c r="BW24" s="15"/>
      <c r="BX24" s="15"/>
      <c r="BY24" s="15"/>
      <c r="BZ24" s="15"/>
      <c r="CA24" s="15"/>
    </row>
    <row r="25" spans="1:89" ht="12.75">
      <c r="A25" s="47" t="s">
        <v>174</v>
      </c>
      <c r="B25" s="92"/>
      <c r="C25" s="189">
        <v>60.6</v>
      </c>
      <c r="D25" s="189">
        <v>60</v>
      </c>
      <c r="E25" s="189">
        <v>70.6</v>
      </c>
      <c r="F25" s="189">
        <v>43</v>
      </c>
      <c r="G25" s="189">
        <v>60.6</v>
      </c>
      <c r="H25" s="189">
        <v>52.625</v>
      </c>
      <c r="I25" s="189">
        <v>55.27</v>
      </c>
      <c r="J25" s="189">
        <v>77.4</v>
      </c>
      <c r="K25" s="189">
        <v>68.84</v>
      </c>
      <c r="L25" s="189">
        <v>44.5</v>
      </c>
      <c r="M25" s="189">
        <v>40.3</v>
      </c>
      <c r="N25" s="189">
        <v>65.21</v>
      </c>
      <c r="O25" s="189">
        <v>40.6</v>
      </c>
      <c r="P25" s="189">
        <v>62.93</v>
      </c>
      <c r="Q25" s="189">
        <v>45.4</v>
      </c>
      <c r="R25" s="189">
        <v>35.3</v>
      </c>
      <c r="S25" s="189">
        <v>79</v>
      </c>
      <c r="T25" s="189">
        <v>48.7</v>
      </c>
      <c r="U25" s="189">
        <v>100</v>
      </c>
      <c r="V25" s="189">
        <v>72.37</v>
      </c>
      <c r="W25" s="189">
        <v>72.2</v>
      </c>
      <c r="X25" s="189">
        <v>86.4</v>
      </c>
      <c r="Y25" s="189">
        <v>83.2</v>
      </c>
      <c r="Z25" s="189">
        <v>43.8</v>
      </c>
      <c r="AA25" s="189">
        <v>48.8</v>
      </c>
      <c r="AB25" s="189">
        <v>0</v>
      </c>
      <c r="AC25" s="189">
        <v>65.82</v>
      </c>
      <c r="AD25" s="189">
        <v>44.13</v>
      </c>
      <c r="AE25" s="189">
        <v>59.3</v>
      </c>
      <c r="AF25" s="189">
        <v>70.2</v>
      </c>
      <c r="AG25" s="189">
        <v>98.28</v>
      </c>
      <c r="AH25" s="189">
        <v>89.5</v>
      </c>
      <c r="AI25" s="189">
        <v>65.3</v>
      </c>
      <c r="AJ25" s="189">
        <v>100</v>
      </c>
      <c r="AK25" s="189">
        <v>78.91</v>
      </c>
      <c r="AL25" s="189">
        <f>38.2+4.9</f>
        <v>43.1</v>
      </c>
      <c r="AM25" s="189">
        <v>57.6</v>
      </c>
      <c r="AN25" s="189">
        <v>74.31</v>
      </c>
      <c r="AO25" s="189">
        <v>53</v>
      </c>
      <c r="AP25" s="189">
        <v>73.23</v>
      </c>
      <c r="AQ25" s="189">
        <v>70.69</v>
      </c>
      <c r="AR25" s="189">
        <v>78.2</v>
      </c>
      <c r="AS25" s="189">
        <v>72.49</v>
      </c>
      <c r="AT25" s="189">
        <v>62.14</v>
      </c>
      <c r="AU25" s="189">
        <v>100</v>
      </c>
      <c r="AV25" s="189">
        <v>32.5</v>
      </c>
      <c r="AW25" s="189">
        <v>61.3</v>
      </c>
      <c r="AX25" s="189">
        <v>81.6</v>
      </c>
      <c r="AY25" s="189">
        <v>73</v>
      </c>
      <c r="AZ25" s="189">
        <v>100</v>
      </c>
      <c r="BA25" s="189">
        <v>78.35</v>
      </c>
      <c r="BB25" s="189">
        <v>100</v>
      </c>
      <c r="BC25" s="189">
        <v>71</v>
      </c>
      <c r="BD25" s="189">
        <v>69.7</v>
      </c>
      <c r="BE25" s="189">
        <v>62.75</v>
      </c>
      <c r="BF25" s="189">
        <v>74.4</v>
      </c>
      <c r="BG25" s="189">
        <v>44.2</v>
      </c>
      <c r="BH25" s="189">
        <v>74</v>
      </c>
      <c r="BI25" s="189">
        <v>46.96</v>
      </c>
      <c r="BJ25" s="189">
        <v>100</v>
      </c>
      <c r="BK25" s="189">
        <v>59.3</v>
      </c>
      <c r="BL25" s="189">
        <v>0</v>
      </c>
      <c r="BM25" s="189">
        <v>67</v>
      </c>
      <c r="BN25" s="189">
        <v>100</v>
      </c>
      <c r="BO25" s="189">
        <v>47.8</v>
      </c>
      <c r="BP25" s="189">
        <v>62.4</v>
      </c>
      <c r="BQ25" s="189"/>
      <c r="BR25" s="189"/>
      <c r="BS25" s="189"/>
      <c r="BT25" s="189">
        <f>(BT63/BT67)*100</f>
        <v>63.37405716499344</v>
      </c>
      <c r="BU25" s="189">
        <f>(BU63/BU67)*100</f>
        <v>70.31421383500623</v>
      </c>
      <c r="BV25" s="189">
        <f aca="true" t="shared" si="7" ref="BV25:CA25">(BV63/BV67)*100</f>
        <v>53.40878232292739</v>
      </c>
      <c r="BW25" s="189">
        <f t="shared" si="7"/>
        <v>61.295637600087574</v>
      </c>
      <c r="BX25" s="189">
        <f t="shared" si="7"/>
        <v>63.07578755676219</v>
      </c>
      <c r="BY25" s="189">
        <f t="shared" si="7"/>
        <v>92.89965720710815</v>
      </c>
      <c r="BZ25" s="189"/>
      <c r="CA25" s="189">
        <f t="shared" si="7"/>
        <v>63.37405716499338</v>
      </c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</row>
    <row r="26" spans="1:89" ht="12.75">
      <c r="A26" s="47" t="s">
        <v>175</v>
      </c>
      <c r="B26" s="92"/>
      <c r="C26" s="189">
        <v>24.6</v>
      </c>
      <c r="D26" s="189">
        <v>29</v>
      </c>
      <c r="E26" s="189">
        <v>3.6</v>
      </c>
      <c r="F26" s="189">
        <v>42</v>
      </c>
      <c r="G26" s="189">
        <v>18.5</v>
      </c>
      <c r="H26" s="189">
        <v>33.305</v>
      </c>
      <c r="I26" s="189">
        <v>31.28</v>
      </c>
      <c r="J26" s="189">
        <v>6.2</v>
      </c>
      <c r="K26" s="189">
        <v>13.92</v>
      </c>
      <c r="L26" s="189">
        <v>33.2</v>
      </c>
      <c r="M26" s="189">
        <v>44.6</v>
      </c>
      <c r="N26" s="189">
        <v>22.56</v>
      </c>
      <c r="O26" s="189">
        <v>42.4</v>
      </c>
      <c r="P26" s="189">
        <v>14.08</v>
      </c>
      <c r="Q26" s="189">
        <v>41.3</v>
      </c>
      <c r="R26" s="189">
        <v>47.4</v>
      </c>
      <c r="S26" s="189">
        <v>6</v>
      </c>
      <c r="T26" s="189">
        <v>38.5</v>
      </c>
      <c r="U26" s="189">
        <v>0</v>
      </c>
      <c r="V26" s="189">
        <v>1.8</v>
      </c>
      <c r="W26" s="189">
        <v>15.9</v>
      </c>
      <c r="X26" s="189">
        <v>11.1</v>
      </c>
      <c r="Y26" s="189">
        <v>9.2</v>
      </c>
      <c r="Z26" s="189">
        <v>24.48</v>
      </c>
      <c r="AA26" s="189">
        <v>38</v>
      </c>
      <c r="AB26" s="189">
        <v>0</v>
      </c>
      <c r="AC26" s="189">
        <v>6.55</v>
      </c>
      <c r="AD26" s="189">
        <v>37.51</v>
      </c>
      <c r="AE26" s="189">
        <v>19.7</v>
      </c>
      <c r="AF26" s="189">
        <v>6.9</v>
      </c>
      <c r="AG26" s="189">
        <v>0</v>
      </c>
      <c r="AH26" s="189">
        <v>0.9</v>
      </c>
      <c r="AI26" s="189">
        <v>14.5</v>
      </c>
      <c r="AJ26" s="189">
        <v>0</v>
      </c>
      <c r="AK26" s="189">
        <v>0</v>
      </c>
      <c r="AL26" s="189">
        <v>39.8</v>
      </c>
      <c r="AM26" s="189">
        <v>29.1</v>
      </c>
      <c r="AN26" s="189">
        <v>18.95</v>
      </c>
      <c r="AO26" s="189">
        <v>24.6</v>
      </c>
      <c r="AP26" s="189">
        <v>4.36</v>
      </c>
      <c r="AQ26" s="189">
        <v>12.26</v>
      </c>
      <c r="AR26" s="189">
        <v>2.8</v>
      </c>
      <c r="AS26" s="189">
        <v>11.69</v>
      </c>
      <c r="AT26" s="189">
        <v>6.24</v>
      </c>
      <c r="AU26" s="189">
        <v>0</v>
      </c>
      <c r="AV26" s="189">
        <v>52.5</v>
      </c>
      <c r="AW26" s="189">
        <v>18.5</v>
      </c>
      <c r="AX26" s="189">
        <v>12.6</v>
      </c>
      <c r="AY26" s="189">
        <v>0.2</v>
      </c>
      <c r="AZ26" s="189">
        <v>0</v>
      </c>
      <c r="BA26" s="189">
        <v>18.19</v>
      </c>
      <c r="BB26" s="189">
        <v>0</v>
      </c>
      <c r="BC26" s="189">
        <v>8</v>
      </c>
      <c r="BD26" s="189">
        <v>5.2</v>
      </c>
      <c r="BE26" s="189">
        <v>8.27</v>
      </c>
      <c r="BF26" s="189">
        <v>2.9</v>
      </c>
      <c r="BG26" s="189">
        <v>28.3</v>
      </c>
      <c r="BH26" s="189">
        <v>2</v>
      </c>
      <c r="BI26" s="189">
        <v>0</v>
      </c>
      <c r="BJ26" s="189">
        <v>0</v>
      </c>
      <c r="BK26" s="189">
        <v>9.9</v>
      </c>
      <c r="BL26" s="189">
        <v>0</v>
      </c>
      <c r="BM26" s="189">
        <v>0</v>
      </c>
      <c r="BN26" s="189">
        <v>0</v>
      </c>
      <c r="BO26" s="189">
        <v>4.2</v>
      </c>
      <c r="BP26" s="189">
        <v>0</v>
      </c>
      <c r="BQ26" s="189"/>
      <c r="BR26" s="189"/>
      <c r="BS26" s="189"/>
      <c r="BT26" s="189">
        <f>(BT64/BT67)*100</f>
        <v>17.184807056977093</v>
      </c>
      <c r="BU26" s="189">
        <f>(BU64/BU67)*100</f>
        <v>4.485443890359805</v>
      </c>
      <c r="BV26" s="189">
        <f aca="true" t="shared" si="8" ref="BV26:CA26">(BV64/BV67)*100</f>
        <v>31.60093573420412</v>
      </c>
      <c r="BW26" s="189">
        <f t="shared" si="8"/>
        <v>22.944479420400224</v>
      </c>
      <c r="BX26" s="189">
        <f t="shared" si="8"/>
        <v>17.330914142262255</v>
      </c>
      <c r="BY26" s="189">
        <f t="shared" si="8"/>
        <v>2.721719821803384</v>
      </c>
      <c r="BZ26" s="189"/>
      <c r="CA26" s="189">
        <f t="shared" si="8"/>
        <v>17.184807056977096</v>
      </c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</row>
    <row r="27" spans="1:89" ht="12.75">
      <c r="A27" s="47" t="s">
        <v>176</v>
      </c>
      <c r="B27" s="92"/>
      <c r="C27" s="189">
        <v>11.5</v>
      </c>
      <c r="D27" s="189">
        <v>9</v>
      </c>
      <c r="E27" s="189">
        <v>25.5</v>
      </c>
      <c r="F27" s="189">
        <v>11</v>
      </c>
      <c r="G27" s="189">
        <v>17.8</v>
      </c>
      <c r="H27" s="189">
        <v>10.811</v>
      </c>
      <c r="I27" s="189">
        <v>9.18</v>
      </c>
      <c r="J27" s="189">
        <v>16.2</v>
      </c>
      <c r="K27" s="189">
        <v>16.74</v>
      </c>
      <c r="L27" s="189">
        <v>18.5</v>
      </c>
      <c r="M27" s="189">
        <v>11.5</v>
      </c>
      <c r="N27" s="189">
        <v>8.87</v>
      </c>
      <c r="O27" s="189">
        <v>13.1</v>
      </c>
      <c r="P27" s="189">
        <v>22.02</v>
      </c>
      <c r="Q27" s="189">
        <v>9.9</v>
      </c>
      <c r="R27" s="189">
        <v>12.8</v>
      </c>
      <c r="S27" s="189">
        <v>14</v>
      </c>
      <c r="T27" s="189">
        <v>9.3</v>
      </c>
      <c r="U27" s="189">
        <v>0</v>
      </c>
      <c r="V27" s="189">
        <v>25.22</v>
      </c>
      <c r="W27" s="189">
        <v>10.7</v>
      </c>
      <c r="X27" s="189">
        <v>1.4</v>
      </c>
      <c r="Y27" s="189">
        <v>7.5</v>
      </c>
      <c r="Z27" s="189">
        <v>12.15</v>
      </c>
      <c r="AA27" s="189">
        <v>9.18</v>
      </c>
      <c r="AB27" s="189">
        <v>0</v>
      </c>
      <c r="AC27" s="189">
        <v>27.48</v>
      </c>
      <c r="AD27" s="189">
        <v>12.87</v>
      </c>
      <c r="AE27" s="189">
        <v>20.2</v>
      </c>
      <c r="AF27" s="189">
        <v>22.5</v>
      </c>
      <c r="AG27" s="189">
        <v>1.72</v>
      </c>
      <c r="AH27" s="189">
        <v>9.57</v>
      </c>
      <c r="AI27" s="189">
        <v>19.2</v>
      </c>
      <c r="AJ27" s="189">
        <v>0</v>
      </c>
      <c r="AK27" s="189">
        <v>20.87</v>
      </c>
      <c r="AL27" s="189">
        <v>13.9</v>
      </c>
      <c r="AM27" s="189">
        <v>10.6</v>
      </c>
      <c r="AN27" s="189">
        <v>5.9</v>
      </c>
      <c r="AO27" s="189">
        <v>21.33</v>
      </c>
      <c r="AP27" s="189">
        <v>22.41</v>
      </c>
      <c r="AQ27" s="189">
        <v>17.03</v>
      </c>
      <c r="AR27" s="189">
        <v>18</v>
      </c>
      <c r="AS27" s="189">
        <v>12.05</v>
      </c>
      <c r="AT27" s="189">
        <v>30.91</v>
      </c>
      <c r="AU27" s="189">
        <v>0</v>
      </c>
      <c r="AV27" s="189">
        <v>10</v>
      </c>
      <c r="AW27" s="189">
        <v>20</v>
      </c>
      <c r="AX27" s="189">
        <v>5.5</v>
      </c>
      <c r="AY27" s="189">
        <v>25.8</v>
      </c>
      <c r="AZ27" s="189">
        <v>0</v>
      </c>
      <c r="BA27" s="189">
        <v>3.46</v>
      </c>
      <c r="BB27" s="189">
        <v>0</v>
      </c>
      <c r="BC27" s="189">
        <v>21</v>
      </c>
      <c r="BD27" s="189">
        <v>24.1</v>
      </c>
      <c r="BE27" s="189">
        <v>26.22</v>
      </c>
      <c r="BF27" s="189">
        <v>22.4</v>
      </c>
      <c r="BG27" s="189">
        <v>22.12</v>
      </c>
      <c r="BH27" s="189">
        <v>24</v>
      </c>
      <c r="BI27" s="189">
        <v>53.04</v>
      </c>
      <c r="BJ27" s="189">
        <v>0</v>
      </c>
      <c r="BK27" s="189">
        <v>29.9</v>
      </c>
      <c r="BL27" s="189">
        <v>0</v>
      </c>
      <c r="BM27" s="189">
        <v>33</v>
      </c>
      <c r="BN27" s="189">
        <v>0</v>
      </c>
      <c r="BO27" s="189">
        <v>47.8</v>
      </c>
      <c r="BP27" s="189">
        <v>37.6</v>
      </c>
      <c r="BQ27" s="189"/>
      <c r="BR27" s="189"/>
      <c r="BS27" s="189"/>
      <c r="BT27" s="189">
        <f>(BT65/BT67)*100</f>
        <v>17.754083331417213</v>
      </c>
      <c r="BU27" s="189">
        <f>(BU65/BU67)*100</f>
        <v>24.862191574962907</v>
      </c>
      <c r="BV27" s="189">
        <f aca="true" t="shared" si="9" ref="BV27:CA27">(BV65/BV67)*100</f>
        <v>12.008043809810804</v>
      </c>
      <c r="BW27" s="189">
        <f t="shared" si="9"/>
        <v>13.262581079633176</v>
      </c>
      <c r="BX27" s="189">
        <f t="shared" si="9"/>
        <v>17.891454528987516</v>
      </c>
      <c r="BY27" s="189">
        <f t="shared" si="9"/>
        <v>4.1557584440102335</v>
      </c>
      <c r="BZ27" s="189"/>
      <c r="CA27" s="189">
        <f t="shared" si="9"/>
        <v>17.754083331417203</v>
      </c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</row>
    <row r="28" spans="1:89" ht="12.75">
      <c r="A28" s="47" t="s">
        <v>177</v>
      </c>
      <c r="B28" s="92"/>
      <c r="C28" s="189">
        <v>3.3</v>
      </c>
      <c r="D28" s="189">
        <v>2</v>
      </c>
      <c r="E28" s="189">
        <v>0.3</v>
      </c>
      <c r="F28" s="189">
        <v>4</v>
      </c>
      <c r="G28" s="189">
        <v>3.1</v>
      </c>
      <c r="H28" s="189">
        <v>3.257</v>
      </c>
      <c r="I28" s="189">
        <v>4.27</v>
      </c>
      <c r="J28" s="189">
        <v>0.2</v>
      </c>
      <c r="K28" s="189">
        <v>0.5</v>
      </c>
      <c r="L28" s="189">
        <v>3.8</v>
      </c>
      <c r="M28" s="189">
        <v>3.6</v>
      </c>
      <c r="N28" s="189">
        <v>3.37</v>
      </c>
      <c r="O28" s="189">
        <v>3.9</v>
      </c>
      <c r="P28" s="189">
        <v>0.97</v>
      </c>
      <c r="Q28" s="189">
        <v>3.4</v>
      </c>
      <c r="R28" s="189">
        <v>4.5</v>
      </c>
      <c r="S28" s="189">
        <v>1</v>
      </c>
      <c r="T28" s="189">
        <v>3.5</v>
      </c>
      <c r="U28" s="189">
        <v>0</v>
      </c>
      <c r="V28" s="189">
        <v>0.61</v>
      </c>
      <c r="W28" s="189">
        <v>1.2</v>
      </c>
      <c r="X28" s="189">
        <v>1.1</v>
      </c>
      <c r="Y28" s="189">
        <v>0.1</v>
      </c>
      <c r="Z28" s="189">
        <v>19.57</v>
      </c>
      <c r="AA28" s="189">
        <v>4</v>
      </c>
      <c r="AB28" s="189">
        <v>0</v>
      </c>
      <c r="AC28" s="189">
        <v>0.14</v>
      </c>
      <c r="AD28" s="189">
        <v>5.49</v>
      </c>
      <c r="AE28" s="189">
        <v>0.8</v>
      </c>
      <c r="AF28" s="189">
        <v>0.4</v>
      </c>
      <c r="AG28" s="189">
        <v>0</v>
      </c>
      <c r="AH28" s="189">
        <v>0.01</v>
      </c>
      <c r="AI28" s="189">
        <v>1</v>
      </c>
      <c r="AJ28" s="189">
        <v>0</v>
      </c>
      <c r="AK28" s="189">
        <v>0.22</v>
      </c>
      <c r="AL28" s="189">
        <v>3.2</v>
      </c>
      <c r="AM28" s="189">
        <v>2.7</v>
      </c>
      <c r="AN28" s="189">
        <v>0.84</v>
      </c>
      <c r="AO28" s="189">
        <v>1.07</v>
      </c>
      <c r="AP28" s="189">
        <v>0</v>
      </c>
      <c r="AQ28" s="189">
        <v>0.02</v>
      </c>
      <c r="AR28" s="189">
        <v>1</v>
      </c>
      <c r="AS28" s="189">
        <v>3.77</v>
      </c>
      <c r="AT28" s="189">
        <v>0.72</v>
      </c>
      <c r="AU28" s="189">
        <v>0</v>
      </c>
      <c r="AV28" s="189">
        <v>5</v>
      </c>
      <c r="AW28" s="189">
        <v>0.2</v>
      </c>
      <c r="AX28" s="189">
        <v>0.3</v>
      </c>
      <c r="AY28" s="189">
        <v>1</v>
      </c>
      <c r="AZ28" s="189">
        <v>0</v>
      </c>
      <c r="BA28" s="189">
        <v>0</v>
      </c>
      <c r="BB28" s="189">
        <v>0</v>
      </c>
      <c r="BC28" s="189">
        <v>0</v>
      </c>
      <c r="BD28" s="189">
        <v>1</v>
      </c>
      <c r="BE28" s="189">
        <v>2.75</v>
      </c>
      <c r="BF28" s="189">
        <v>0.3</v>
      </c>
      <c r="BG28" s="189">
        <v>5.38</v>
      </c>
      <c r="BH28" s="189">
        <v>0</v>
      </c>
      <c r="BI28" s="189">
        <v>0</v>
      </c>
      <c r="BJ28" s="189">
        <v>0</v>
      </c>
      <c r="BK28" s="189">
        <v>0.9</v>
      </c>
      <c r="BL28" s="189">
        <v>0</v>
      </c>
      <c r="BM28" s="189">
        <v>0</v>
      </c>
      <c r="BN28" s="189">
        <v>0</v>
      </c>
      <c r="BO28" s="189">
        <v>0.2</v>
      </c>
      <c r="BP28" s="189">
        <v>0</v>
      </c>
      <c r="BQ28" s="189"/>
      <c r="BR28" s="189"/>
      <c r="BS28" s="189"/>
      <c r="BT28" s="189">
        <f>(BT66/BT67)*100</f>
        <v>1.6870524466123125</v>
      </c>
      <c r="BU28" s="189">
        <f>(BU66/BU67)*100</f>
        <v>0.33815069967102357</v>
      </c>
      <c r="BV28" s="189">
        <f aca="true" t="shared" si="10" ref="BV28:CA28">(BV66/BV67)*100</f>
        <v>2.9822381330577175</v>
      </c>
      <c r="BW28" s="189">
        <f t="shared" si="10"/>
        <v>2.4973018998790475</v>
      </c>
      <c r="BX28" s="189">
        <f t="shared" si="10"/>
        <v>1.7018437719880313</v>
      </c>
      <c r="BY28" s="189">
        <f t="shared" si="10"/>
        <v>0.22286452707824225</v>
      </c>
      <c r="BZ28" s="189"/>
      <c r="CA28" s="189">
        <f t="shared" si="10"/>
        <v>1.687052446612312</v>
      </c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</row>
    <row r="29" spans="1:79" ht="12.75">
      <c r="A29" s="45" t="s">
        <v>178</v>
      </c>
      <c r="B29" s="92">
        <v>14</v>
      </c>
      <c r="C29" s="39">
        <f aca="true" t="shared" si="11" ref="C29:H29">SUM(C25:C28)</f>
        <v>100</v>
      </c>
      <c r="D29" s="39">
        <f t="shared" si="11"/>
        <v>100</v>
      </c>
      <c r="E29" s="39">
        <f t="shared" si="11"/>
        <v>99.99999999999999</v>
      </c>
      <c r="F29" s="39">
        <f t="shared" si="11"/>
        <v>100</v>
      </c>
      <c r="G29" s="39">
        <f t="shared" si="11"/>
        <v>99.99999999999999</v>
      </c>
      <c r="H29" s="39">
        <f t="shared" si="11"/>
        <v>99.99800000000002</v>
      </c>
      <c r="I29" s="39">
        <f aca="true" t="shared" si="12" ref="I29:O29">SUM(I25:I28)</f>
        <v>100.00000000000001</v>
      </c>
      <c r="J29" s="39">
        <f>SUM(J25:J28)</f>
        <v>100.00000000000001</v>
      </c>
      <c r="K29" s="39">
        <f t="shared" si="12"/>
        <v>100</v>
      </c>
      <c r="L29" s="39">
        <f>SUM(L25:L28)</f>
        <v>100</v>
      </c>
      <c r="M29" s="39">
        <f>SUM(M25:M28)</f>
        <v>100</v>
      </c>
      <c r="N29" s="39">
        <f t="shared" si="12"/>
        <v>100.01</v>
      </c>
      <c r="O29" s="39">
        <f t="shared" si="12"/>
        <v>100</v>
      </c>
      <c r="P29" s="39">
        <f aca="true" t="shared" si="13" ref="P29:AG29">SUM(P25:P28)</f>
        <v>100</v>
      </c>
      <c r="Q29" s="39">
        <f t="shared" si="13"/>
        <v>100</v>
      </c>
      <c r="R29" s="39">
        <f t="shared" si="13"/>
        <v>99.99999999999999</v>
      </c>
      <c r="S29" s="39">
        <f t="shared" si="13"/>
        <v>100</v>
      </c>
      <c r="T29" s="39">
        <f t="shared" si="13"/>
        <v>100</v>
      </c>
      <c r="U29" s="39">
        <f t="shared" si="13"/>
        <v>100</v>
      </c>
      <c r="V29" s="39">
        <f t="shared" si="13"/>
        <v>100</v>
      </c>
      <c r="W29" s="39">
        <f t="shared" si="13"/>
        <v>100.00000000000001</v>
      </c>
      <c r="X29" s="39">
        <f t="shared" si="13"/>
        <v>100</v>
      </c>
      <c r="Y29" s="39">
        <f t="shared" si="13"/>
        <v>100</v>
      </c>
      <c r="Z29" s="39">
        <f t="shared" si="13"/>
        <v>100</v>
      </c>
      <c r="AA29" s="39">
        <f t="shared" si="13"/>
        <v>99.97999999999999</v>
      </c>
      <c r="AB29" s="39">
        <f t="shared" si="13"/>
        <v>0</v>
      </c>
      <c r="AC29" s="39">
        <f t="shared" si="13"/>
        <v>99.99</v>
      </c>
      <c r="AD29" s="39">
        <f t="shared" si="13"/>
        <v>100</v>
      </c>
      <c r="AE29" s="39">
        <f t="shared" si="13"/>
        <v>100</v>
      </c>
      <c r="AF29" s="39">
        <f t="shared" si="13"/>
        <v>100.00000000000001</v>
      </c>
      <c r="AG29" s="39">
        <f t="shared" si="13"/>
        <v>100</v>
      </c>
      <c r="AH29" s="39">
        <f aca="true" t="shared" si="14" ref="AH29:BP29">SUM(AH25:AH28)</f>
        <v>99.98</v>
      </c>
      <c r="AI29" s="39">
        <f>SUM(AI25:AI28)</f>
        <v>100</v>
      </c>
      <c r="AJ29" s="39">
        <f>SUM(AJ25:AJ28)</f>
        <v>100</v>
      </c>
      <c r="AK29" s="39">
        <f t="shared" si="14"/>
        <v>100</v>
      </c>
      <c r="AL29" s="39">
        <f t="shared" si="14"/>
        <v>100.00000000000001</v>
      </c>
      <c r="AM29" s="39">
        <f t="shared" si="14"/>
        <v>100</v>
      </c>
      <c r="AN29" s="39">
        <f t="shared" si="14"/>
        <v>100.00000000000001</v>
      </c>
      <c r="AO29" s="39">
        <f t="shared" si="14"/>
        <v>99.99999999999999</v>
      </c>
      <c r="AP29" s="39">
        <f>SUM(AP25:AP28)</f>
        <v>100</v>
      </c>
      <c r="AQ29" s="39">
        <f t="shared" si="14"/>
        <v>100</v>
      </c>
      <c r="AR29" s="39">
        <f t="shared" si="14"/>
        <v>100</v>
      </c>
      <c r="AS29" s="39">
        <f>SUM(AS25:AS28)</f>
        <v>99.99999999999999</v>
      </c>
      <c r="AT29" s="39">
        <f t="shared" si="14"/>
        <v>100.00999999999999</v>
      </c>
      <c r="AU29" s="39">
        <f>SUM(AU25:AU28)</f>
        <v>100</v>
      </c>
      <c r="AV29" s="39">
        <f t="shared" si="14"/>
        <v>100</v>
      </c>
      <c r="AW29" s="39">
        <f>SUM(AW25:AW28)</f>
        <v>100</v>
      </c>
      <c r="AX29" s="39">
        <f t="shared" si="14"/>
        <v>99.99999999999999</v>
      </c>
      <c r="AY29" s="39">
        <f t="shared" si="14"/>
        <v>100</v>
      </c>
      <c r="AZ29" s="39">
        <f>SUM(AZ25:AZ28)</f>
        <v>100</v>
      </c>
      <c r="BA29" s="39">
        <f t="shared" si="14"/>
        <v>99.99999999999999</v>
      </c>
      <c r="BB29" s="39">
        <f>SUM(BB25:BB28)</f>
        <v>100</v>
      </c>
      <c r="BC29" s="39">
        <f t="shared" si="14"/>
        <v>100</v>
      </c>
      <c r="BD29" s="39">
        <f t="shared" si="14"/>
        <v>100</v>
      </c>
      <c r="BE29" s="39">
        <f t="shared" si="14"/>
        <v>99.99</v>
      </c>
      <c r="BF29" s="39">
        <f t="shared" si="14"/>
        <v>100.00000000000001</v>
      </c>
      <c r="BG29" s="39">
        <f>SUM(BG25:BG28)</f>
        <v>100</v>
      </c>
      <c r="BH29" s="39">
        <f t="shared" si="14"/>
        <v>100</v>
      </c>
      <c r="BI29" s="39">
        <f t="shared" si="14"/>
        <v>100</v>
      </c>
      <c r="BJ29" s="39">
        <f t="shared" si="14"/>
        <v>100</v>
      </c>
      <c r="BK29" s="39">
        <f t="shared" si="14"/>
        <v>100</v>
      </c>
      <c r="BL29" s="39">
        <f>SUM(BL25:BL28)</f>
        <v>0</v>
      </c>
      <c r="BM29" s="39">
        <f>SUM(BM25:BM28)</f>
        <v>100</v>
      </c>
      <c r="BN29" s="39">
        <f t="shared" si="14"/>
        <v>100</v>
      </c>
      <c r="BO29" s="39">
        <f t="shared" si="14"/>
        <v>100</v>
      </c>
      <c r="BP29" s="39">
        <f t="shared" si="14"/>
        <v>100</v>
      </c>
      <c r="BQ29" s="39"/>
      <c r="BR29" s="39"/>
      <c r="BS29" s="39"/>
      <c r="BT29" s="39">
        <f>SUM(BT25:BT28)</f>
        <v>100.00000000000006</v>
      </c>
      <c r="BU29" s="39">
        <f>SUM(BU25:BU28)</f>
        <v>99.99999999999996</v>
      </c>
      <c r="BV29" s="39">
        <f aca="true" t="shared" si="15" ref="BV29:CA29">SUM(BV25:BV28)</f>
        <v>100.00000000000003</v>
      </c>
      <c r="BW29" s="39">
        <f t="shared" si="15"/>
        <v>100.00000000000003</v>
      </c>
      <c r="BX29" s="39">
        <f t="shared" si="15"/>
        <v>99.99999999999999</v>
      </c>
      <c r="BY29" s="39">
        <f t="shared" si="15"/>
        <v>100.00000000000001</v>
      </c>
      <c r="BZ29" s="39"/>
      <c r="CA29" s="39">
        <f t="shared" si="15"/>
        <v>100</v>
      </c>
    </row>
    <row r="30" spans="1:91" ht="12.75">
      <c r="A30" s="45"/>
      <c r="B30" s="45"/>
      <c r="C30" s="196" t="s">
        <v>165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 t="s">
        <v>165</v>
      </c>
      <c r="AV30" s="196"/>
      <c r="AW30" s="196"/>
      <c r="AX30" s="196"/>
      <c r="AY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6"/>
      <c r="BP30" s="196"/>
      <c r="BQ30" s="196"/>
      <c r="BR30" s="196"/>
      <c r="BS30" s="196"/>
      <c r="BT30" s="196"/>
      <c r="BU30" s="196"/>
      <c r="BV30" s="196"/>
      <c r="BW30" s="196" t="s">
        <v>165</v>
      </c>
      <c r="BX30" s="196"/>
      <c r="BY30" s="196"/>
      <c r="BZ30" s="196"/>
      <c r="CA30" s="196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</row>
    <row r="31" spans="1:91" ht="11.25" customHeight="1">
      <c r="A31" s="49" t="s">
        <v>179</v>
      </c>
      <c r="B31" s="45"/>
      <c r="C31" s="194"/>
      <c r="D31" s="194" t="s">
        <v>498</v>
      </c>
      <c r="E31" s="194"/>
      <c r="F31" s="194"/>
      <c r="G31" s="194"/>
      <c r="H31" s="194"/>
      <c r="I31" s="194"/>
      <c r="J31" s="194" t="s">
        <v>571</v>
      </c>
      <c r="K31" s="194"/>
      <c r="L31" s="194"/>
      <c r="M31" s="194"/>
      <c r="N31" s="194"/>
      <c r="O31" s="194"/>
      <c r="P31" s="194"/>
      <c r="Q31" s="194"/>
      <c r="R31" s="194" t="s">
        <v>498</v>
      </c>
      <c r="S31" s="194"/>
      <c r="T31" s="194"/>
      <c r="U31" s="194" t="s">
        <v>356</v>
      </c>
      <c r="W31" s="194"/>
      <c r="X31" s="194"/>
      <c r="Y31" s="194" t="s">
        <v>356</v>
      </c>
      <c r="Z31" s="194" t="s">
        <v>560</v>
      </c>
      <c r="AA31" s="194" t="s">
        <v>165</v>
      </c>
      <c r="AB31" s="210" t="s">
        <v>183</v>
      </c>
      <c r="AC31" s="194"/>
      <c r="AD31" s="194"/>
      <c r="AE31" s="194"/>
      <c r="AF31" s="194" t="s">
        <v>180</v>
      </c>
      <c r="AG31" s="194" t="s">
        <v>356</v>
      </c>
      <c r="AH31" s="194"/>
      <c r="AI31" s="194"/>
      <c r="AJ31" s="194" t="s">
        <v>356</v>
      </c>
      <c r="AK31" s="194" t="s">
        <v>528</v>
      </c>
      <c r="AL31" s="194"/>
      <c r="AM31" s="194"/>
      <c r="AN31" s="194"/>
      <c r="AO31" s="194"/>
      <c r="AP31" s="194"/>
      <c r="AQ31" s="202" t="s">
        <v>569</v>
      </c>
      <c r="AR31" s="194"/>
      <c r="AS31" s="194" t="s">
        <v>356</v>
      </c>
      <c r="AT31" s="194"/>
      <c r="AU31" s="194" t="s">
        <v>356</v>
      </c>
      <c r="AV31" s="194"/>
      <c r="AW31" s="194"/>
      <c r="AX31" s="194" t="s">
        <v>180</v>
      </c>
      <c r="AY31" s="194" t="s">
        <v>180</v>
      </c>
      <c r="AZ31" s="194" t="s">
        <v>356</v>
      </c>
      <c r="BA31" s="194" t="s">
        <v>180</v>
      </c>
      <c r="BB31" s="194" t="s">
        <v>356</v>
      </c>
      <c r="BC31" s="194" t="s">
        <v>180</v>
      </c>
      <c r="BD31" s="194"/>
      <c r="BE31" s="194"/>
      <c r="BF31" s="194" t="s">
        <v>180</v>
      </c>
      <c r="BG31" s="194" t="s">
        <v>180</v>
      </c>
      <c r="BH31" s="194"/>
      <c r="BI31" s="194" t="s">
        <v>356</v>
      </c>
      <c r="BJ31" s="194" t="s">
        <v>356</v>
      </c>
      <c r="BK31" s="194"/>
      <c r="BL31" s="194" t="s">
        <v>572</v>
      </c>
      <c r="BM31" s="194" t="s">
        <v>180</v>
      </c>
      <c r="BN31" s="194" t="s">
        <v>180</v>
      </c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5"/>
      <c r="CD31" s="195"/>
      <c r="CE31" s="195"/>
      <c r="CF31" s="195"/>
      <c r="CG31" s="195"/>
      <c r="CH31" s="195"/>
      <c r="CI31" s="194"/>
      <c r="CJ31" s="194"/>
      <c r="CK31" s="194"/>
      <c r="CL31" s="194"/>
      <c r="CM31" s="194"/>
    </row>
    <row r="32" spans="1:91" s="107" customFormat="1" ht="11.25" customHeight="1">
      <c r="A32" s="90"/>
      <c r="B32" s="108"/>
      <c r="C32" s="194"/>
      <c r="D32" s="194" t="s">
        <v>499</v>
      </c>
      <c r="E32" s="194"/>
      <c r="F32" s="194"/>
      <c r="G32" s="194"/>
      <c r="H32" s="194"/>
      <c r="I32" s="194"/>
      <c r="J32" s="194" t="s">
        <v>573</v>
      </c>
      <c r="K32" s="194"/>
      <c r="L32" s="194"/>
      <c r="M32" s="194"/>
      <c r="N32" s="194"/>
      <c r="O32" s="194"/>
      <c r="P32" s="194"/>
      <c r="Q32" s="194"/>
      <c r="R32" s="194" t="s">
        <v>527</v>
      </c>
      <c r="S32" s="194"/>
      <c r="T32" s="194"/>
      <c r="U32" s="194"/>
      <c r="W32" s="194"/>
      <c r="X32" s="194"/>
      <c r="Y32" s="194"/>
      <c r="Z32" s="194" t="s">
        <v>595</v>
      </c>
      <c r="AA32" s="194"/>
      <c r="AB32" s="210" t="s">
        <v>184</v>
      </c>
      <c r="AC32" s="194"/>
      <c r="AD32" s="194"/>
      <c r="AE32" s="194"/>
      <c r="AF32" s="194" t="s">
        <v>181</v>
      </c>
      <c r="AG32" s="33"/>
      <c r="AH32" s="194"/>
      <c r="AI32" s="194"/>
      <c r="AJ32" s="194"/>
      <c r="AK32" s="194" t="s">
        <v>526</v>
      </c>
      <c r="AL32" s="194"/>
      <c r="AM32" s="194"/>
      <c r="AN32" s="194"/>
      <c r="AO32" s="194"/>
      <c r="AP32" s="194"/>
      <c r="AQ32" s="202" t="s">
        <v>597</v>
      </c>
      <c r="AR32" s="194"/>
      <c r="AS32" s="194"/>
      <c r="AT32" s="194"/>
      <c r="AU32" s="194"/>
      <c r="AV32" s="194"/>
      <c r="AW32" s="194"/>
      <c r="AX32" s="194" t="s">
        <v>181</v>
      </c>
      <c r="AY32" s="194" t="s">
        <v>181</v>
      </c>
      <c r="AZ32" s="194"/>
      <c r="BA32" s="194" t="s">
        <v>181</v>
      </c>
      <c r="BB32" s="194"/>
      <c r="BC32" s="194" t="s">
        <v>181</v>
      </c>
      <c r="BD32" s="194"/>
      <c r="BE32" s="194"/>
      <c r="BF32" s="194" t="s">
        <v>181</v>
      </c>
      <c r="BG32" s="194" t="s">
        <v>181</v>
      </c>
      <c r="BH32" s="194"/>
      <c r="BI32" s="194"/>
      <c r="BJ32" s="194"/>
      <c r="BK32" s="194"/>
      <c r="BL32" s="202" t="s">
        <v>601</v>
      </c>
      <c r="BM32" s="194" t="s">
        <v>181</v>
      </c>
      <c r="BN32" s="194" t="s">
        <v>181</v>
      </c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</row>
    <row r="33" spans="1:91" s="107" customFormat="1" ht="11.25" customHeight="1">
      <c r="A33" s="90"/>
      <c r="B33" s="108"/>
      <c r="C33" s="194"/>
      <c r="D33" s="194" t="s">
        <v>559</v>
      </c>
      <c r="E33" s="194"/>
      <c r="F33" s="194"/>
      <c r="G33" s="194"/>
      <c r="H33" s="194"/>
      <c r="I33" s="194"/>
      <c r="J33" s="194" t="s">
        <v>184</v>
      </c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W33" s="194"/>
      <c r="X33" s="194"/>
      <c r="Y33" s="210" t="s">
        <v>183</v>
      </c>
      <c r="Z33" s="219">
        <v>35977</v>
      </c>
      <c r="AA33" s="194"/>
      <c r="AB33" s="210" t="s">
        <v>185</v>
      </c>
      <c r="AC33" s="194"/>
      <c r="AD33" s="194"/>
      <c r="AE33" s="194"/>
      <c r="AF33" s="194" t="s">
        <v>182</v>
      </c>
      <c r="AG33" s="210" t="s">
        <v>183</v>
      </c>
      <c r="AH33" s="194"/>
      <c r="AI33" s="194"/>
      <c r="AJ33" s="194" t="s">
        <v>183</v>
      </c>
      <c r="AL33" s="194"/>
      <c r="AM33" s="194"/>
      <c r="AN33" s="194"/>
      <c r="AO33" s="194"/>
      <c r="AP33" s="194"/>
      <c r="AQ33" s="202" t="s">
        <v>596</v>
      </c>
      <c r="AR33" s="194"/>
      <c r="AS33" s="194"/>
      <c r="AT33" s="194"/>
      <c r="AU33" s="210" t="s">
        <v>345</v>
      </c>
      <c r="AV33" s="194"/>
      <c r="AW33" s="194"/>
      <c r="AX33" s="194" t="s">
        <v>182</v>
      </c>
      <c r="AY33" s="194" t="s">
        <v>182</v>
      </c>
      <c r="AZ33" s="194" t="s">
        <v>183</v>
      </c>
      <c r="BA33" s="194" t="s">
        <v>182</v>
      </c>
      <c r="BB33" s="194" t="s">
        <v>180</v>
      </c>
      <c r="BC33" s="194" t="s">
        <v>182</v>
      </c>
      <c r="BD33" s="194"/>
      <c r="BE33" s="194"/>
      <c r="BF33" s="194" t="s">
        <v>182</v>
      </c>
      <c r="BG33" s="194" t="s">
        <v>182</v>
      </c>
      <c r="BH33" s="194"/>
      <c r="BI33" s="194"/>
      <c r="BJ33" s="210" t="s">
        <v>345</v>
      </c>
      <c r="BK33" s="194"/>
      <c r="BL33" s="202" t="s">
        <v>598</v>
      </c>
      <c r="BM33" s="194" t="s">
        <v>182</v>
      </c>
      <c r="BN33" s="194" t="s">
        <v>182</v>
      </c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</row>
    <row r="34" spans="1:91" s="107" customFormat="1" ht="11.25" customHeight="1">
      <c r="A34" s="90"/>
      <c r="B34" s="108"/>
      <c r="C34" s="194"/>
      <c r="D34" s="194"/>
      <c r="E34" s="194"/>
      <c r="F34" s="194"/>
      <c r="G34" s="194"/>
      <c r="H34" s="194"/>
      <c r="I34" s="194"/>
      <c r="J34" s="194" t="s">
        <v>185</v>
      </c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W34" s="194"/>
      <c r="X34" s="194"/>
      <c r="Y34" s="210" t="s">
        <v>184</v>
      </c>
      <c r="Z34" s="194"/>
      <c r="AA34" s="194"/>
      <c r="AB34" s="210" t="s">
        <v>186</v>
      </c>
      <c r="AC34" s="194"/>
      <c r="AD34" s="194"/>
      <c r="AE34" s="194"/>
      <c r="AF34" s="194"/>
      <c r="AG34" s="210" t="s">
        <v>184</v>
      </c>
      <c r="AH34" s="194"/>
      <c r="AI34" s="194"/>
      <c r="AJ34" s="194" t="s">
        <v>184</v>
      </c>
      <c r="AL34" s="194" t="s">
        <v>165</v>
      </c>
      <c r="AM34" s="194"/>
      <c r="AN34" s="194"/>
      <c r="AO34" s="194"/>
      <c r="AP34" s="194"/>
      <c r="AQ34" s="194"/>
      <c r="AR34" s="194"/>
      <c r="AS34" s="194"/>
      <c r="AT34" s="194"/>
      <c r="AU34" s="210" t="s">
        <v>182</v>
      </c>
      <c r="AV34" s="194"/>
      <c r="AW34" s="194"/>
      <c r="AY34"/>
      <c r="AZ34" s="194" t="s">
        <v>184</v>
      </c>
      <c r="BA34" s="194"/>
      <c r="BB34" s="194" t="s">
        <v>181</v>
      </c>
      <c r="BC34" s="194"/>
      <c r="BD34" s="194"/>
      <c r="BE34" s="194"/>
      <c r="BF34" s="194"/>
      <c r="BG34" s="194"/>
      <c r="BH34" s="194"/>
      <c r="BI34" s="194"/>
      <c r="BJ34" s="210" t="s">
        <v>182</v>
      </c>
      <c r="BK34" s="194"/>
      <c r="BL34" s="194" t="s">
        <v>599</v>
      </c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</row>
    <row r="35" spans="1:91" s="107" customFormat="1" ht="11.25" customHeight="1">
      <c r="A35" s="90"/>
      <c r="B35" s="108"/>
      <c r="C35" s="194"/>
      <c r="D35" s="194"/>
      <c r="E35" s="194"/>
      <c r="F35" s="194"/>
      <c r="G35" s="194"/>
      <c r="H35" s="194"/>
      <c r="I35" s="194"/>
      <c r="J35" s="194" t="s">
        <v>186</v>
      </c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210" t="s">
        <v>185</v>
      </c>
      <c r="Z35" s="194"/>
      <c r="AA35" s="194"/>
      <c r="AB35" s="194"/>
      <c r="AC35" s="194"/>
      <c r="AD35" s="194"/>
      <c r="AE35" s="194"/>
      <c r="AF35" s="194"/>
      <c r="AG35" s="210" t="s">
        <v>185</v>
      </c>
      <c r="AH35" s="194"/>
      <c r="AI35" s="194"/>
      <c r="AJ35" s="194" t="s">
        <v>185</v>
      </c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210" t="s">
        <v>184</v>
      </c>
      <c r="AV35" s="194"/>
      <c r="AW35" s="194"/>
      <c r="AY35"/>
      <c r="AZ35" s="194" t="s">
        <v>185</v>
      </c>
      <c r="BA35" s="194"/>
      <c r="BB35" s="194" t="s">
        <v>182</v>
      </c>
      <c r="BC35" s="194"/>
      <c r="BD35" s="194"/>
      <c r="BE35" s="194"/>
      <c r="BF35" s="194"/>
      <c r="BG35" s="194"/>
      <c r="BH35" s="194"/>
      <c r="BI35" s="194"/>
      <c r="BJ35" s="210" t="s">
        <v>184</v>
      </c>
      <c r="BK35" s="194"/>
      <c r="BL35" s="194" t="s">
        <v>600</v>
      </c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5"/>
      <c r="CD35" s="195"/>
      <c r="CE35" s="195"/>
      <c r="CF35" s="195"/>
      <c r="CG35" s="195"/>
      <c r="CH35" s="195"/>
      <c r="CI35" s="195"/>
      <c r="CJ35" s="195"/>
      <c r="CK35" s="195"/>
      <c r="CL35" s="195"/>
      <c r="CM35" s="195"/>
    </row>
    <row r="36" spans="1:80" s="195" customFormat="1" ht="11.25" customHeight="1">
      <c r="A36" s="197"/>
      <c r="B36" s="198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10" t="s">
        <v>186</v>
      </c>
      <c r="Z36" s="199"/>
      <c r="AA36" s="199"/>
      <c r="AB36" s="199"/>
      <c r="AC36" s="199"/>
      <c r="AD36" s="199"/>
      <c r="AE36" s="199"/>
      <c r="AF36" s="199"/>
      <c r="AG36" s="210" t="s">
        <v>186</v>
      </c>
      <c r="AH36" s="199"/>
      <c r="AI36" s="199"/>
      <c r="AJ36" s="194" t="s">
        <v>186</v>
      </c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Y36" s="199"/>
      <c r="AZ36" s="194" t="s">
        <v>186</v>
      </c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4"/>
    </row>
    <row r="37" spans="1:52" s="195" customFormat="1" ht="8.25" customHeight="1">
      <c r="A37" s="197"/>
      <c r="B37" s="198"/>
      <c r="AG37" s="194"/>
      <c r="AZ37" s="194"/>
    </row>
    <row r="38" spans="1:79" s="194" customFormat="1" ht="6.75" customHeight="1">
      <c r="A38" s="127"/>
      <c r="B38" s="144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</row>
    <row r="39" spans="3:81" s="194" customFormat="1" ht="12.75">
      <c r="C39" s="201" t="s">
        <v>187</v>
      </c>
      <c r="D39" s="201"/>
      <c r="E39" s="201"/>
      <c r="F39" s="201"/>
      <c r="G39" s="201"/>
      <c r="H39" s="201"/>
      <c r="I39" s="201"/>
      <c r="J39" s="201" t="s">
        <v>187</v>
      </c>
      <c r="K39" s="201"/>
      <c r="L39" s="201"/>
      <c r="M39" s="201"/>
      <c r="N39" s="201"/>
      <c r="O39" s="201"/>
      <c r="P39" s="201"/>
      <c r="Q39" s="201" t="s">
        <v>187</v>
      </c>
      <c r="R39" s="201"/>
      <c r="S39" s="201"/>
      <c r="T39" s="201"/>
      <c r="U39" s="201"/>
      <c r="V39" s="201"/>
      <c r="W39" s="201"/>
      <c r="X39" s="201" t="s">
        <v>187</v>
      </c>
      <c r="Y39" s="201"/>
      <c r="Z39" s="201"/>
      <c r="AA39" s="201"/>
      <c r="AB39" s="201"/>
      <c r="AC39" s="201"/>
      <c r="AD39" s="201"/>
      <c r="AE39" s="201" t="s">
        <v>187</v>
      </c>
      <c r="AF39" s="201"/>
      <c r="AG39" s="201"/>
      <c r="AH39" s="201"/>
      <c r="AI39" s="201"/>
      <c r="AJ39" s="201"/>
      <c r="AK39" s="201"/>
      <c r="AL39" s="201" t="s">
        <v>187</v>
      </c>
      <c r="AM39" s="201"/>
      <c r="AN39" s="201"/>
      <c r="AO39" s="201"/>
      <c r="AP39" s="201"/>
      <c r="AQ39" s="201"/>
      <c r="AR39" s="201"/>
      <c r="AS39" s="201" t="s">
        <v>187</v>
      </c>
      <c r="AT39" s="201"/>
      <c r="AU39" s="201"/>
      <c r="AV39" s="201"/>
      <c r="AW39" s="201"/>
      <c r="AX39" s="201"/>
      <c r="AY39" s="201"/>
      <c r="AZ39" s="201" t="s">
        <v>187</v>
      </c>
      <c r="BA39" s="201"/>
      <c r="BB39" s="201"/>
      <c r="BC39" s="201"/>
      <c r="BD39" s="201"/>
      <c r="BE39" s="201"/>
      <c r="BF39" s="201"/>
      <c r="BG39" s="201" t="s">
        <v>187</v>
      </c>
      <c r="BH39" s="201"/>
      <c r="BI39" s="201"/>
      <c r="BJ39" s="201"/>
      <c r="BK39" s="201"/>
      <c r="BL39" s="201"/>
      <c r="BM39" s="201"/>
      <c r="BN39" s="201" t="s">
        <v>187</v>
      </c>
      <c r="BO39" s="201"/>
      <c r="BP39" s="201"/>
      <c r="BQ39" s="201"/>
      <c r="BR39" s="201"/>
      <c r="BS39" s="201"/>
      <c r="BT39" s="201"/>
      <c r="BU39" s="201" t="s">
        <v>187</v>
      </c>
      <c r="BV39" s="201"/>
      <c r="BW39" s="201"/>
      <c r="BX39" s="201"/>
      <c r="BY39" s="201"/>
      <c r="BZ39" s="201"/>
      <c r="CA39" s="201"/>
      <c r="CB39" s="89"/>
      <c r="CC39" s="89"/>
    </row>
    <row r="40" spans="3:81" s="194" customFormat="1" ht="15" customHeight="1">
      <c r="C40" s="203" t="s">
        <v>503</v>
      </c>
      <c r="D40" s="203"/>
      <c r="E40" s="203"/>
      <c r="F40" s="203"/>
      <c r="G40" s="203"/>
      <c r="H40" s="203"/>
      <c r="I40" s="203"/>
      <c r="J40" s="203" t="s">
        <v>503</v>
      </c>
      <c r="K40" s="203"/>
      <c r="L40" s="203"/>
      <c r="M40" s="203"/>
      <c r="N40" s="203"/>
      <c r="O40" s="203"/>
      <c r="P40" s="203"/>
      <c r="Q40" s="203" t="s">
        <v>503</v>
      </c>
      <c r="R40" s="203"/>
      <c r="S40" s="203"/>
      <c r="T40" s="203"/>
      <c r="U40" s="203"/>
      <c r="V40" s="203"/>
      <c r="W40" s="203"/>
      <c r="X40" s="203" t="s">
        <v>503</v>
      </c>
      <c r="Y40" s="203"/>
      <c r="Z40" s="203"/>
      <c r="AA40" s="203"/>
      <c r="AB40" s="203"/>
      <c r="AC40" s="203"/>
      <c r="AD40" s="203"/>
      <c r="AE40" s="203" t="s">
        <v>503</v>
      </c>
      <c r="AF40" s="203"/>
      <c r="AG40" s="203"/>
      <c r="AH40" s="203"/>
      <c r="AI40" s="203"/>
      <c r="AJ40" s="203"/>
      <c r="AK40" s="203"/>
      <c r="AL40" s="203" t="s">
        <v>503</v>
      </c>
      <c r="AM40" s="203"/>
      <c r="AN40" s="203"/>
      <c r="AO40" s="203"/>
      <c r="AP40" s="203"/>
      <c r="AQ40" s="203"/>
      <c r="AR40" s="203"/>
      <c r="AS40" s="203" t="s">
        <v>503</v>
      </c>
      <c r="AT40" s="203"/>
      <c r="AU40" s="203"/>
      <c r="AV40" s="203"/>
      <c r="AW40" s="203"/>
      <c r="AX40" s="203"/>
      <c r="AY40" s="203"/>
      <c r="AZ40" s="203" t="s">
        <v>503</v>
      </c>
      <c r="BA40" s="203"/>
      <c r="BB40" s="203"/>
      <c r="BC40" s="203"/>
      <c r="BD40" s="203"/>
      <c r="BE40" s="203"/>
      <c r="BF40" s="203"/>
      <c r="BG40" s="203" t="s">
        <v>503</v>
      </c>
      <c r="BH40" s="203"/>
      <c r="BI40" s="203"/>
      <c r="BJ40" s="203"/>
      <c r="BK40" s="203"/>
      <c r="BL40" s="203"/>
      <c r="BM40" s="203"/>
      <c r="BN40" s="203" t="s">
        <v>503</v>
      </c>
      <c r="BO40" s="203"/>
      <c r="BP40" s="203"/>
      <c r="BQ40" s="203"/>
      <c r="BR40" s="203"/>
      <c r="BS40" s="203"/>
      <c r="BT40" s="203"/>
      <c r="BU40" s="203" t="s">
        <v>503</v>
      </c>
      <c r="BV40" s="203"/>
      <c r="BW40" s="203"/>
      <c r="BX40" s="203"/>
      <c r="BY40" s="203"/>
      <c r="BZ40" s="203"/>
      <c r="CA40" s="203"/>
      <c r="CB40" s="89"/>
      <c r="CC40" s="89"/>
    </row>
    <row r="41" spans="3:81" s="194" customFormat="1" ht="12.75">
      <c r="C41" s="203" t="s">
        <v>504</v>
      </c>
      <c r="D41" s="203"/>
      <c r="E41" s="203"/>
      <c r="F41" s="203"/>
      <c r="G41" s="203"/>
      <c r="H41" s="203"/>
      <c r="I41" s="203"/>
      <c r="J41" s="203" t="s">
        <v>504</v>
      </c>
      <c r="K41" s="203"/>
      <c r="L41" s="203"/>
      <c r="M41" s="203"/>
      <c r="N41" s="203"/>
      <c r="O41" s="203"/>
      <c r="P41" s="203"/>
      <c r="Q41" s="203" t="s">
        <v>504</v>
      </c>
      <c r="R41" s="203"/>
      <c r="S41" s="203"/>
      <c r="T41" s="203"/>
      <c r="U41" s="203"/>
      <c r="V41" s="203"/>
      <c r="W41" s="203"/>
      <c r="X41" s="203" t="s">
        <v>504</v>
      </c>
      <c r="Y41" s="203"/>
      <c r="Z41" s="203"/>
      <c r="AA41" s="203"/>
      <c r="AB41" s="203"/>
      <c r="AC41" s="203"/>
      <c r="AD41" s="203"/>
      <c r="AE41" s="203" t="s">
        <v>504</v>
      </c>
      <c r="AF41" s="203"/>
      <c r="AG41" s="203"/>
      <c r="AH41" s="203"/>
      <c r="AI41" s="203"/>
      <c r="AJ41" s="203"/>
      <c r="AK41" s="203"/>
      <c r="AL41" s="203" t="s">
        <v>504</v>
      </c>
      <c r="AM41" s="203"/>
      <c r="AN41" s="203"/>
      <c r="AO41" s="203"/>
      <c r="AP41" s="203"/>
      <c r="AQ41" s="203"/>
      <c r="AR41" s="203"/>
      <c r="AS41" s="203" t="s">
        <v>504</v>
      </c>
      <c r="AT41" s="203"/>
      <c r="AU41" s="203"/>
      <c r="AV41" s="203"/>
      <c r="AW41" s="203"/>
      <c r="AX41" s="203"/>
      <c r="AY41" s="203"/>
      <c r="AZ41" s="203" t="s">
        <v>504</v>
      </c>
      <c r="BA41" s="203"/>
      <c r="BB41" s="203"/>
      <c r="BC41" s="203"/>
      <c r="BD41" s="203"/>
      <c r="BE41" s="203"/>
      <c r="BF41" s="203"/>
      <c r="BG41" s="203" t="s">
        <v>504</v>
      </c>
      <c r="BH41" s="203"/>
      <c r="BI41" s="203"/>
      <c r="BJ41" s="203"/>
      <c r="BK41" s="203"/>
      <c r="BL41" s="203"/>
      <c r="BM41" s="203"/>
      <c r="BN41" s="203" t="s">
        <v>504</v>
      </c>
      <c r="BO41" s="203"/>
      <c r="BP41" s="203"/>
      <c r="BQ41" s="203"/>
      <c r="BR41" s="203"/>
      <c r="BS41" s="203"/>
      <c r="BT41" s="203"/>
      <c r="BU41" s="203" t="s">
        <v>504</v>
      </c>
      <c r="BV41" s="203"/>
      <c r="BW41" s="203"/>
      <c r="BX41" s="203"/>
      <c r="BY41" s="203"/>
      <c r="BZ41" s="203"/>
      <c r="CA41" s="203"/>
      <c r="CB41" s="89"/>
      <c r="CC41" s="89"/>
    </row>
    <row r="42" spans="3:81" s="194" customFormat="1" ht="12.75">
      <c r="C42" s="203" t="s">
        <v>505</v>
      </c>
      <c r="D42" s="203"/>
      <c r="E42" s="203"/>
      <c r="F42" s="203"/>
      <c r="G42" s="203"/>
      <c r="H42" s="203"/>
      <c r="I42" s="203"/>
      <c r="J42" s="203" t="s">
        <v>505</v>
      </c>
      <c r="K42" s="203"/>
      <c r="L42" s="203"/>
      <c r="M42" s="203"/>
      <c r="N42" s="203"/>
      <c r="O42" s="203"/>
      <c r="P42" s="203"/>
      <c r="Q42" s="203" t="s">
        <v>505</v>
      </c>
      <c r="R42" s="203"/>
      <c r="S42" s="203"/>
      <c r="T42" s="203"/>
      <c r="U42" s="203"/>
      <c r="V42" s="203"/>
      <c r="W42" s="203"/>
      <c r="X42" s="203" t="s">
        <v>505</v>
      </c>
      <c r="Y42" s="203"/>
      <c r="Z42" s="203"/>
      <c r="AA42" s="203"/>
      <c r="AB42" s="203"/>
      <c r="AC42" s="203"/>
      <c r="AD42" s="203"/>
      <c r="AE42" s="203" t="s">
        <v>505</v>
      </c>
      <c r="AF42" s="203"/>
      <c r="AG42" s="203"/>
      <c r="AH42" s="203"/>
      <c r="AI42" s="203"/>
      <c r="AJ42" s="203"/>
      <c r="AK42" s="203"/>
      <c r="AL42" s="203" t="s">
        <v>505</v>
      </c>
      <c r="AM42" s="203"/>
      <c r="AN42" s="203"/>
      <c r="AO42" s="203"/>
      <c r="AP42" s="203"/>
      <c r="AQ42" s="203"/>
      <c r="AR42" s="203"/>
      <c r="AS42" s="203" t="s">
        <v>505</v>
      </c>
      <c r="AT42" s="203"/>
      <c r="AU42" s="203"/>
      <c r="AV42" s="203"/>
      <c r="AW42" s="203"/>
      <c r="AX42" s="203"/>
      <c r="AY42" s="203"/>
      <c r="AZ42" s="203" t="s">
        <v>505</v>
      </c>
      <c r="BA42" s="203"/>
      <c r="BB42" s="203"/>
      <c r="BC42" s="203"/>
      <c r="BD42" s="203"/>
      <c r="BE42" s="203"/>
      <c r="BF42" s="203"/>
      <c r="BG42" s="203" t="s">
        <v>505</v>
      </c>
      <c r="BH42" s="203"/>
      <c r="BI42" s="203"/>
      <c r="BJ42" s="203"/>
      <c r="BK42" s="203"/>
      <c r="BL42" s="203"/>
      <c r="BM42" s="203"/>
      <c r="BN42" s="203" t="s">
        <v>505</v>
      </c>
      <c r="BO42" s="203"/>
      <c r="BP42" s="203"/>
      <c r="BQ42" s="203"/>
      <c r="BR42" s="203"/>
      <c r="BS42" s="203"/>
      <c r="BT42" s="203"/>
      <c r="BU42" s="203" t="s">
        <v>505</v>
      </c>
      <c r="BV42" s="203"/>
      <c r="BW42" s="203"/>
      <c r="BX42" s="203"/>
      <c r="BY42" s="203"/>
      <c r="BZ42" s="203"/>
      <c r="CA42" s="203"/>
      <c r="CB42" s="89"/>
      <c r="CC42" s="89"/>
    </row>
    <row r="43" spans="3:81" s="194" customFormat="1" ht="12.75">
      <c r="C43" s="203" t="s">
        <v>506</v>
      </c>
      <c r="D43" s="203"/>
      <c r="E43" s="203"/>
      <c r="F43" s="203"/>
      <c r="G43" s="203"/>
      <c r="H43" s="203"/>
      <c r="I43" s="203"/>
      <c r="J43" s="203" t="s">
        <v>506</v>
      </c>
      <c r="K43" s="203"/>
      <c r="L43" s="203"/>
      <c r="M43" s="203"/>
      <c r="N43" s="203"/>
      <c r="O43" s="203"/>
      <c r="P43" s="203"/>
      <c r="Q43" s="203" t="s">
        <v>506</v>
      </c>
      <c r="R43" s="203"/>
      <c r="S43" s="203"/>
      <c r="T43" s="203"/>
      <c r="U43" s="203"/>
      <c r="V43" s="203"/>
      <c r="W43" s="203"/>
      <c r="X43" s="203" t="s">
        <v>506</v>
      </c>
      <c r="Y43" s="203"/>
      <c r="Z43" s="203"/>
      <c r="AA43" s="203"/>
      <c r="AB43" s="203"/>
      <c r="AC43" s="203"/>
      <c r="AD43" s="203"/>
      <c r="AE43" s="203" t="s">
        <v>506</v>
      </c>
      <c r="AF43" s="203"/>
      <c r="AG43" s="203"/>
      <c r="AH43" s="203"/>
      <c r="AI43" s="203"/>
      <c r="AJ43" s="203"/>
      <c r="AK43" s="203"/>
      <c r="AL43" s="203" t="s">
        <v>506</v>
      </c>
      <c r="AM43" s="203"/>
      <c r="AN43" s="203"/>
      <c r="AO43" s="203"/>
      <c r="AP43" s="203"/>
      <c r="AQ43" s="203"/>
      <c r="AR43" s="203"/>
      <c r="AS43" s="203" t="s">
        <v>506</v>
      </c>
      <c r="AT43" s="203"/>
      <c r="AU43" s="203"/>
      <c r="AV43" s="203"/>
      <c r="AW43" s="203"/>
      <c r="AX43" s="203"/>
      <c r="AY43" s="203"/>
      <c r="AZ43" s="203" t="s">
        <v>506</v>
      </c>
      <c r="BA43" s="203"/>
      <c r="BB43" s="203"/>
      <c r="BC43" s="203"/>
      <c r="BD43" s="203"/>
      <c r="BE43" s="203"/>
      <c r="BF43" s="203"/>
      <c r="BG43" s="203" t="s">
        <v>506</v>
      </c>
      <c r="BH43" s="203"/>
      <c r="BI43" s="203"/>
      <c r="BJ43" s="203"/>
      <c r="BK43" s="203"/>
      <c r="BL43" s="203"/>
      <c r="BM43" s="203"/>
      <c r="BN43" s="203" t="s">
        <v>506</v>
      </c>
      <c r="BO43" s="203"/>
      <c r="BP43" s="203"/>
      <c r="BQ43" s="203"/>
      <c r="BR43" s="203"/>
      <c r="BS43" s="203"/>
      <c r="BT43" s="203"/>
      <c r="BU43" s="203" t="s">
        <v>506</v>
      </c>
      <c r="BV43" s="203"/>
      <c r="BW43" s="203"/>
      <c r="BX43" s="203"/>
      <c r="BY43" s="203"/>
      <c r="BZ43" s="203"/>
      <c r="CA43" s="203"/>
      <c r="CB43" s="89"/>
      <c r="CC43" s="89"/>
    </row>
    <row r="44" spans="3:81" s="194" customFormat="1" ht="11.25" customHeight="1">
      <c r="C44" s="203" t="s">
        <v>547</v>
      </c>
      <c r="D44" s="203"/>
      <c r="E44" s="203"/>
      <c r="F44" s="203"/>
      <c r="G44" s="203"/>
      <c r="H44" s="203"/>
      <c r="I44" s="203"/>
      <c r="J44" s="203" t="s">
        <v>547</v>
      </c>
      <c r="K44" s="203"/>
      <c r="L44" s="203"/>
      <c r="M44" s="203"/>
      <c r="N44" s="203"/>
      <c r="O44" s="203"/>
      <c r="P44" s="203"/>
      <c r="Q44" s="203" t="s">
        <v>547</v>
      </c>
      <c r="R44" s="203"/>
      <c r="S44" s="203"/>
      <c r="T44" s="203"/>
      <c r="U44" s="203"/>
      <c r="V44" s="203"/>
      <c r="W44" s="203"/>
      <c r="X44" s="203" t="s">
        <v>547</v>
      </c>
      <c r="Y44" s="203"/>
      <c r="Z44" s="203"/>
      <c r="AA44" s="203"/>
      <c r="AB44" s="203"/>
      <c r="AC44" s="203"/>
      <c r="AD44" s="203"/>
      <c r="AE44" s="203" t="s">
        <v>547</v>
      </c>
      <c r="AF44" s="203"/>
      <c r="AG44" s="203"/>
      <c r="AH44" s="203"/>
      <c r="AI44" s="203"/>
      <c r="AJ44" s="203"/>
      <c r="AK44" s="203"/>
      <c r="AL44" s="203" t="s">
        <v>547</v>
      </c>
      <c r="AM44" s="203"/>
      <c r="AN44" s="203"/>
      <c r="AO44" s="203"/>
      <c r="AP44" s="203"/>
      <c r="AQ44" s="203"/>
      <c r="AR44" s="203"/>
      <c r="AS44" s="203" t="s">
        <v>547</v>
      </c>
      <c r="AT44" s="203"/>
      <c r="AU44" s="203"/>
      <c r="AV44" s="203"/>
      <c r="AW44" s="203"/>
      <c r="AX44" s="203"/>
      <c r="AY44" s="203"/>
      <c r="AZ44" s="203" t="s">
        <v>547</v>
      </c>
      <c r="BA44" s="203"/>
      <c r="BB44" s="203"/>
      <c r="BC44" s="203"/>
      <c r="BD44" s="203"/>
      <c r="BE44" s="203"/>
      <c r="BF44" s="203"/>
      <c r="BG44" s="203" t="s">
        <v>547</v>
      </c>
      <c r="BH44" s="203"/>
      <c r="BI44" s="203"/>
      <c r="BJ44" s="203"/>
      <c r="BK44" s="203"/>
      <c r="BL44" s="203"/>
      <c r="BM44" s="203"/>
      <c r="BN44" s="203" t="s">
        <v>547</v>
      </c>
      <c r="BO44" s="203"/>
      <c r="BP44" s="203"/>
      <c r="BQ44" s="203"/>
      <c r="BR44" s="203"/>
      <c r="BS44" s="203"/>
      <c r="BT44" s="203"/>
      <c r="BU44" s="203" t="s">
        <v>547</v>
      </c>
      <c r="BV44" s="203"/>
      <c r="BW44" s="203"/>
      <c r="BX44" s="203"/>
      <c r="BY44" s="203"/>
      <c r="BZ44" s="203"/>
      <c r="CA44" s="203"/>
      <c r="CB44" s="89"/>
      <c r="CC44" s="89"/>
    </row>
    <row r="45" spans="3:81" s="194" customFormat="1" ht="11.25" customHeight="1">
      <c r="C45" s="203" t="s">
        <v>534</v>
      </c>
      <c r="D45" s="203"/>
      <c r="E45" s="203"/>
      <c r="F45" s="203"/>
      <c r="G45" s="203"/>
      <c r="H45" s="203"/>
      <c r="I45" s="203"/>
      <c r="J45" s="203" t="s">
        <v>534</v>
      </c>
      <c r="K45" s="203"/>
      <c r="L45" s="203"/>
      <c r="M45" s="203"/>
      <c r="N45" s="203"/>
      <c r="O45" s="203"/>
      <c r="P45" s="203"/>
      <c r="Q45" s="203" t="s">
        <v>534</v>
      </c>
      <c r="R45" s="203"/>
      <c r="S45" s="203"/>
      <c r="T45" s="203"/>
      <c r="U45" s="203"/>
      <c r="V45" s="203"/>
      <c r="W45" s="203"/>
      <c r="X45" s="203" t="s">
        <v>534</v>
      </c>
      <c r="Y45" s="203"/>
      <c r="Z45" s="203"/>
      <c r="AA45" s="203"/>
      <c r="AB45" s="203"/>
      <c r="AC45" s="203"/>
      <c r="AD45" s="203"/>
      <c r="AE45" s="203" t="s">
        <v>534</v>
      </c>
      <c r="AF45" s="203"/>
      <c r="AG45" s="203"/>
      <c r="AH45" s="203"/>
      <c r="AI45" s="203"/>
      <c r="AJ45" s="203"/>
      <c r="AK45" s="203"/>
      <c r="AL45" s="203" t="s">
        <v>534</v>
      </c>
      <c r="AM45" s="203"/>
      <c r="AN45" s="203"/>
      <c r="AO45" s="203"/>
      <c r="AP45" s="203"/>
      <c r="AQ45" s="203"/>
      <c r="AR45" s="203"/>
      <c r="AS45" s="203" t="s">
        <v>534</v>
      </c>
      <c r="AT45" s="203"/>
      <c r="AU45" s="203"/>
      <c r="AV45" s="203"/>
      <c r="AW45" s="203"/>
      <c r="AX45" s="203"/>
      <c r="AY45" s="203"/>
      <c r="AZ45" s="203" t="s">
        <v>534</v>
      </c>
      <c r="BA45" s="203"/>
      <c r="BB45" s="203"/>
      <c r="BC45" s="203"/>
      <c r="BD45" s="203"/>
      <c r="BE45" s="203"/>
      <c r="BF45" s="203"/>
      <c r="BG45" s="203" t="s">
        <v>534</v>
      </c>
      <c r="BH45" s="203"/>
      <c r="BI45" s="203"/>
      <c r="BJ45" s="203"/>
      <c r="BK45" s="203"/>
      <c r="BL45" s="203"/>
      <c r="BM45" s="203"/>
      <c r="BN45" s="203" t="s">
        <v>534</v>
      </c>
      <c r="BO45" s="203"/>
      <c r="BP45" s="203"/>
      <c r="BQ45" s="203"/>
      <c r="BR45" s="203"/>
      <c r="BS45" s="203"/>
      <c r="BT45" s="203"/>
      <c r="BU45" s="203" t="s">
        <v>534</v>
      </c>
      <c r="BV45" s="203"/>
      <c r="BW45" s="203"/>
      <c r="BX45" s="203"/>
      <c r="BY45" s="203"/>
      <c r="BZ45" s="203"/>
      <c r="CA45" s="203"/>
      <c r="CB45" s="89"/>
      <c r="CC45" s="89"/>
    </row>
    <row r="46" spans="3:81" s="194" customFormat="1" ht="11.25" customHeight="1">
      <c r="C46" s="203" t="s">
        <v>535</v>
      </c>
      <c r="D46" s="203"/>
      <c r="E46" s="203"/>
      <c r="F46" s="203"/>
      <c r="G46" s="203"/>
      <c r="H46" s="203"/>
      <c r="I46" s="203"/>
      <c r="J46" s="203" t="s">
        <v>535</v>
      </c>
      <c r="K46" s="203"/>
      <c r="L46" s="203"/>
      <c r="M46" s="203"/>
      <c r="N46" s="203"/>
      <c r="O46" s="203"/>
      <c r="P46" s="203"/>
      <c r="Q46" s="203" t="s">
        <v>535</v>
      </c>
      <c r="R46" s="203"/>
      <c r="S46" s="203"/>
      <c r="T46" s="203"/>
      <c r="U46" s="203"/>
      <c r="V46" s="203"/>
      <c r="W46" s="203"/>
      <c r="X46" s="203" t="s">
        <v>535</v>
      </c>
      <c r="Y46" s="203"/>
      <c r="Z46" s="203"/>
      <c r="AA46" s="203"/>
      <c r="AB46" s="203"/>
      <c r="AC46" s="203"/>
      <c r="AD46" s="203"/>
      <c r="AE46" s="203" t="s">
        <v>535</v>
      </c>
      <c r="AF46" s="203"/>
      <c r="AG46" s="203"/>
      <c r="AH46" s="203"/>
      <c r="AI46" s="203"/>
      <c r="AJ46" s="203"/>
      <c r="AK46" s="203"/>
      <c r="AL46" s="203" t="s">
        <v>535</v>
      </c>
      <c r="AM46" s="203"/>
      <c r="AN46" s="203"/>
      <c r="AO46" s="203"/>
      <c r="AP46" s="203"/>
      <c r="AQ46" s="203"/>
      <c r="AR46" s="203"/>
      <c r="AS46" s="203" t="s">
        <v>535</v>
      </c>
      <c r="AT46" s="203"/>
      <c r="AU46" s="203"/>
      <c r="AV46" s="203"/>
      <c r="AW46" s="203"/>
      <c r="AX46" s="203"/>
      <c r="AY46" s="203"/>
      <c r="AZ46" s="203" t="s">
        <v>535</v>
      </c>
      <c r="BA46" s="203"/>
      <c r="BB46" s="203"/>
      <c r="BC46" s="203"/>
      <c r="BD46" s="203"/>
      <c r="BE46" s="203"/>
      <c r="BF46" s="203"/>
      <c r="BG46" s="203" t="s">
        <v>535</v>
      </c>
      <c r="BH46" s="203"/>
      <c r="BI46" s="203"/>
      <c r="BJ46" s="203"/>
      <c r="BK46" s="203"/>
      <c r="BL46" s="203"/>
      <c r="BM46" s="203"/>
      <c r="BN46" s="203" t="s">
        <v>535</v>
      </c>
      <c r="BO46" s="203"/>
      <c r="BP46" s="203"/>
      <c r="BQ46" s="203"/>
      <c r="BR46" s="203"/>
      <c r="BS46" s="203"/>
      <c r="BT46" s="203"/>
      <c r="BU46" s="203" t="s">
        <v>535</v>
      </c>
      <c r="BV46" s="203"/>
      <c r="BW46" s="203"/>
      <c r="BX46" s="203"/>
      <c r="BY46" s="203"/>
      <c r="BZ46" s="203"/>
      <c r="CA46" s="203"/>
      <c r="CB46" s="89"/>
      <c r="CC46" s="89"/>
    </row>
    <row r="47" spans="3:81" s="194" customFormat="1" ht="11.25" customHeight="1">
      <c r="C47" s="203" t="s">
        <v>536</v>
      </c>
      <c r="D47" s="203"/>
      <c r="E47" s="203"/>
      <c r="F47" s="203"/>
      <c r="G47" s="203"/>
      <c r="H47" s="203"/>
      <c r="I47" s="203"/>
      <c r="J47" s="203" t="s">
        <v>536</v>
      </c>
      <c r="K47" s="203"/>
      <c r="L47" s="203"/>
      <c r="M47" s="203"/>
      <c r="N47" s="203"/>
      <c r="O47" s="203"/>
      <c r="P47" s="203"/>
      <c r="Q47" s="203" t="s">
        <v>536</v>
      </c>
      <c r="R47" s="203"/>
      <c r="S47" s="203"/>
      <c r="T47" s="203"/>
      <c r="U47" s="203"/>
      <c r="V47" s="203"/>
      <c r="W47" s="203"/>
      <c r="X47" s="203" t="s">
        <v>536</v>
      </c>
      <c r="Y47" s="203"/>
      <c r="Z47" s="203"/>
      <c r="AA47" s="203"/>
      <c r="AB47" s="203"/>
      <c r="AC47" s="203"/>
      <c r="AD47" s="203"/>
      <c r="AE47" s="203" t="s">
        <v>536</v>
      </c>
      <c r="AF47" s="203"/>
      <c r="AG47" s="203"/>
      <c r="AH47" s="203"/>
      <c r="AI47" s="203"/>
      <c r="AJ47" s="203"/>
      <c r="AK47" s="203"/>
      <c r="AL47" s="203" t="s">
        <v>536</v>
      </c>
      <c r="AM47" s="203"/>
      <c r="AN47" s="203"/>
      <c r="AO47" s="203"/>
      <c r="AP47" s="203"/>
      <c r="AQ47" s="203"/>
      <c r="AR47" s="203"/>
      <c r="AS47" s="203" t="s">
        <v>536</v>
      </c>
      <c r="AT47" s="203"/>
      <c r="AU47" s="203"/>
      <c r="AV47" s="203"/>
      <c r="AW47" s="203"/>
      <c r="AX47" s="203"/>
      <c r="AY47" s="203"/>
      <c r="AZ47" s="203" t="s">
        <v>536</v>
      </c>
      <c r="BA47" s="203"/>
      <c r="BB47" s="203"/>
      <c r="BC47" s="203"/>
      <c r="BD47" s="203"/>
      <c r="BE47" s="203"/>
      <c r="BF47" s="203"/>
      <c r="BG47" s="203" t="s">
        <v>536</v>
      </c>
      <c r="BH47" s="203"/>
      <c r="BI47" s="203"/>
      <c r="BJ47" s="203"/>
      <c r="BK47" s="203"/>
      <c r="BL47" s="203"/>
      <c r="BM47" s="203"/>
      <c r="BN47" s="203" t="s">
        <v>536</v>
      </c>
      <c r="BO47" s="203"/>
      <c r="BP47" s="203"/>
      <c r="BQ47" s="203"/>
      <c r="BR47" s="203"/>
      <c r="BS47" s="203"/>
      <c r="BT47" s="203"/>
      <c r="BU47" s="203" t="s">
        <v>536</v>
      </c>
      <c r="BV47" s="203"/>
      <c r="BW47" s="203"/>
      <c r="BX47" s="203"/>
      <c r="BY47" s="203"/>
      <c r="BZ47" s="203"/>
      <c r="CA47" s="203"/>
      <c r="CB47" s="89"/>
      <c r="CC47" s="89"/>
    </row>
    <row r="48" spans="3:81" s="194" customFormat="1" ht="11.25" customHeight="1">
      <c r="C48" s="203" t="s">
        <v>594</v>
      </c>
      <c r="D48" s="203"/>
      <c r="E48" s="203"/>
      <c r="F48" s="203"/>
      <c r="G48" s="203"/>
      <c r="H48" s="203"/>
      <c r="I48" s="203"/>
      <c r="J48" s="203" t="s">
        <v>594</v>
      </c>
      <c r="K48" s="203"/>
      <c r="L48" s="203"/>
      <c r="M48" s="203"/>
      <c r="N48" s="203"/>
      <c r="O48" s="203"/>
      <c r="P48" s="203"/>
      <c r="Q48" s="203" t="s">
        <v>594</v>
      </c>
      <c r="R48" s="203"/>
      <c r="S48" s="203"/>
      <c r="T48" s="203"/>
      <c r="U48" s="203"/>
      <c r="V48" s="203"/>
      <c r="W48" s="203"/>
      <c r="X48" s="203" t="s">
        <v>594</v>
      </c>
      <c r="Y48" s="203"/>
      <c r="Z48" s="203"/>
      <c r="AA48" s="203"/>
      <c r="AB48" s="203"/>
      <c r="AC48" s="203"/>
      <c r="AD48" s="203"/>
      <c r="AE48" s="203" t="s">
        <v>594</v>
      </c>
      <c r="AF48" s="203"/>
      <c r="AG48" s="203"/>
      <c r="AH48" s="203"/>
      <c r="AI48" s="203"/>
      <c r="AJ48" s="203"/>
      <c r="AK48" s="203"/>
      <c r="AL48" s="203" t="s">
        <v>594</v>
      </c>
      <c r="AM48" s="203"/>
      <c r="AN48" s="203"/>
      <c r="AO48" s="203"/>
      <c r="AP48" s="203"/>
      <c r="AQ48" s="203"/>
      <c r="AR48" s="203"/>
      <c r="AS48" s="203" t="s">
        <v>594</v>
      </c>
      <c r="AT48" s="203"/>
      <c r="AU48" s="203"/>
      <c r="AV48" s="203"/>
      <c r="AW48" s="203"/>
      <c r="AX48" s="203"/>
      <c r="AY48" s="203"/>
      <c r="AZ48" s="203" t="s">
        <v>594</v>
      </c>
      <c r="BA48" s="203"/>
      <c r="BB48" s="203"/>
      <c r="BC48" s="203"/>
      <c r="BD48" s="203"/>
      <c r="BE48" s="203"/>
      <c r="BF48" s="203"/>
      <c r="BG48" s="203" t="s">
        <v>594</v>
      </c>
      <c r="BH48" s="203"/>
      <c r="BI48" s="203"/>
      <c r="BJ48" s="203"/>
      <c r="BK48" s="203"/>
      <c r="BL48" s="203"/>
      <c r="BM48" s="203"/>
      <c r="BN48" s="203" t="s">
        <v>594</v>
      </c>
      <c r="BO48" s="203"/>
      <c r="BP48" s="203"/>
      <c r="BQ48" s="203"/>
      <c r="BR48" s="203"/>
      <c r="BS48" s="203"/>
      <c r="BT48" s="203"/>
      <c r="BU48" s="203" t="s">
        <v>594</v>
      </c>
      <c r="BV48" s="203"/>
      <c r="BW48" s="203"/>
      <c r="BX48" s="203"/>
      <c r="BY48" s="203"/>
      <c r="BZ48" s="203"/>
      <c r="CA48" s="203"/>
      <c r="CB48" s="89"/>
      <c r="CC48" s="89"/>
    </row>
    <row r="49" spans="3:81" s="194" customFormat="1" ht="12.75">
      <c r="C49" s="203" t="s">
        <v>514</v>
      </c>
      <c r="D49" s="203"/>
      <c r="E49" s="203"/>
      <c r="F49" s="203"/>
      <c r="G49" s="203"/>
      <c r="H49" s="203"/>
      <c r="I49" s="203" t="s">
        <v>165</v>
      </c>
      <c r="J49" s="203" t="s">
        <v>514</v>
      </c>
      <c r="K49" s="203"/>
      <c r="L49" s="203"/>
      <c r="M49" s="203"/>
      <c r="N49" s="203"/>
      <c r="O49" s="203"/>
      <c r="P49" s="203" t="s">
        <v>165</v>
      </c>
      <c r="Q49" s="203" t="s">
        <v>514</v>
      </c>
      <c r="R49" s="203"/>
      <c r="S49" s="203"/>
      <c r="T49" s="203"/>
      <c r="U49" s="203"/>
      <c r="V49" s="203"/>
      <c r="W49" s="203" t="s">
        <v>165</v>
      </c>
      <c r="X49" s="203" t="s">
        <v>514</v>
      </c>
      <c r="Y49" s="203"/>
      <c r="Z49" s="203"/>
      <c r="AA49" s="203"/>
      <c r="AB49" s="203"/>
      <c r="AC49" s="203"/>
      <c r="AD49" s="203" t="s">
        <v>165</v>
      </c>
      <c r="AE49" s="203" t="s">
        <v>514</v>
      </c>
      <c r="AF49" s="203"/>
      <c r="AG49" s="203"/>
      <c r="AH49" s="203"/>
      <c r="AI49" s="203"/>
      <c r="AJ49" s="203"/>
      <c r="AK49" s="203" t="s">
        <v>165</v>
      </c>
      <c r="AL49" s="203" t="s">
        <v>514</v>
      </c>
      <c r="AM49" s="203"/>
      <c r="AN49" s="203"/>
      <c r="AO49" s="203"/>
      <c r="AP49" s="203"/>
      <c r="AQ49" s="203"/>
      <c r="AR49" s="203" t="s">
        <v>165</v>
      </c>
      <c r="AS49" s="203" t="s">
        <v>514</v>
      </c>
      <c r="AT49" s="203"/>
      <c r="AU49" s="203"/>
      <c r="AV49" s="203"/>
      <c r="AW49" s="203"/>
      <c r="AX49" s="203"/>
      <c r="AY49" s="203" t="s">
        <v>165</v>
      </c>
      <c r="AZ49" s="203" t="s">
        <v>514</v>
      </c>
      <c r="BA49" s="203"/>
      <c r="BB49" s="203"/>
      <c r="BC49" s="203"/>
      <c r="BD49" s="203"/>
      <c r="BE49" s="203"/>
      <c r="BF49" s="203" t="s">
        <v>165</v>
      </c>
      <c r="BG49" s="203" t="s">
        <v>514</v>
      </c>
      <c r="BH49" s="203"/>
      <c r="BI49" s="203"/>
      <c r="BJ49" s="203"/>
      <c r="BK49" s="203"/>
      <c r="BL49" s="203"/>
      <c r="BM49" s="203" t="s">
        <v>165</v>
      </c>
      <c r="BN49" s="203" t="s">
        <v>514</v>
      </c>
      <c r="BO49" s="203"/>
      <c r="BP49" s="203"/>
      <c r="BQ49" s="203"/>
      <c r="BR49" s="203"/>
      <c r="BS49" s="203"/>
      <c r="BT49" s="203" t="s">
        <v>165</v>
      </c>
      <c r="BU49" s="203" t="s">
        <v>514</v>
      </c>
      <c r="BV49" s="203"/>
      <c r="BW49" s="203"/>
      <c r="BX49" s="203"/>
      <c r="BY49" s="203"/>
      <c r="BZ49" s="203"/>
      <c r="CA49" s="203" t="s">
        <v>165</v>
      </c>
      <c r="CB49" s="89" t="s">
        <v>165</v>
      </c>
      <c r="CC49" s="89"/>
    </row>
    <row r="50" spans="3:81" s="194" customFormat="1" ht="11.25" customHeight="1">
      <c r="C50" s="203" t="s">
        <v>537</v>
      </c>
      <c r="D50" s="203"/>
      <c r="E50" s="203"/>
      <c r="F50" s="203"/>
      <c r="G50" s="203"/>
      <c r="H50" s="203"/>
      <c r="I50" s="203"/>
      <c r="J50" s="203" t="s">
        <v>537</v>
      </c>
      <c r="K50" s="203"/>
      <c r="L50" s="203"/>
      <c r="M50" s="203"/>
      <c r="N50" s="203"/>
      <c r="O50" s="203"/>
      <c r="P50" s="203"/>
      <c r="Q50" s="203" t="s">
        <v>537</v>
      </c>
      <c r="R50" s="203"/>
      <c r="S50" s="203"/>
      <c r="T50" s="203"/>
      <c r="U50" s="203"/>
      <c r="V50" s="203"/>
      <c r="W50" s="203"/>
      <c r="X50" s="203" t="s">
        <v>537</v>
      </c>
      <c r="Y50" s="203"/>
      <c r="Z50" s="203"/>
      <c r="AA50" s="203"/>
      <c r="AB50" s="203"/>
      <c r="AC50" s="203"/>
      <c r="AD50" s="203"/>
      <c r="AE50" s="203" t="s">
        <v>537</v>
      </c>
      <c r="AF50" s="203"/>
      <c r="AG50" s="203"/>
      <c r="AH50" s="203"/>
      <c r="AI50" s="203"/>
      <c r="AJ50" s="203"/>
      <c r="AK50" s="203"/>
      <c r="AL50" s="203" t="s">
        <v>537</v>
      </c>
      <c r="AM50" s="203"/>
      <c r="AN50" s="203"/>
      <c r="AO50" s="203"/>
      <c r="AP50" s="203"/>
      <c r="AQ50" s="203"/>
      <c r="AR50" s="203"/>
      <c r="AS50" s="203" t="s">
        <v>537</v>
      </c>
      <c r="AT50" s="203"/>
      <c r="AU50" s="203"/>
      <c r="AV50" s="203"/>
      <c r="AW50" s="203"/>
      <c r="AX50" s="203"/>
      <c r="AY50" s="203"/>
      <c r="AZ50" s="203" t="s">
        <v>537</v>
      </c>
      <c r="BA50" s="203"/>
      <c r="BB50" s="203"/>
      <c r="BC50" s="203"/>
      <c r="BD50" s="203"/>
      <c r="BE50" s="203"/>
      <c r="BF50" s="203"/>
      <c r="BG50" s="203" t="s">
        <v>537</v>
      </c>
      <c r="BH50" s="203"/>
      <c r="BI50" s="203"/>
      <c r="BJ50" s="203"/>
      <c r="BK50" s="203"/>
      <c r="BL50" s="203"/>
      <c r="BM50" s="203"/>
      <c r="BN50" s="203" t="s">
        <v>537</v>
      </c>
      <c r="BO50" s="203"/>
      <c r="BP50" s="203"/>
      <c r="BQ50" s="203"/>
      <c r="BR50" s="203"/>
      <c r="BS50" s="203"/>
      <c r="BT50" s="203"/>
      <c r="BU50" s="203" t="s">
        <v>537</v>
      </c>
      <c r="BV50" s="203"/>
      <c r="BW50" s="203"/>
      <c r="BX50" s="203"/>
      <c r="BY50" s="203"/>
      <c r="BZ50" s="203"/>
      <c r="CA50" s="203"/>
      <c r="CB50" s="89"/>
      <c r="CC50" s="89"/>
    </row>
    <row r="51" spans="3:81" s="194" customFormat="1" ht="11.25" customHeight="1">
      <c r="C51" s="203" t="s">
        <v>520</v>
      </c>
      <c r="D51" s="203"/>
      <c r="E51" s="203"/>
      <c r="F51" s="203"/>
      <c r="G51" s="203"/>
      <c r="H51" s="203"/>
      <c r="I51" s="203"/>
      <c r="J51" s="203" t="s">
        <v>520</v>
      </c>
      <c r="K51" s="203"/>
      <c r="L51" s="203"/>
      <c r="M51" s="203"/>
      <c r="N51" s="203"/>
      <c r="O51" s="203"/>
      <c r="P51" s="203"/>
      <c r="Q51" s="203" t="s">
        <v>520</v>
      </c>
      <c r="R51" s="203"/>
      <c r="S51" s="203"/>
      <c r="T51" s="203"/>
      <c r="U51" s="203"/>
      <c r="V51" s="203"/>
      <c r="W51" s="203"/>
      <c r="X51" s="203" t="s">
        <v>520</v>
      </c>
      <c r="Y51" s="203"/>
      <c r="Z51" s="203"/>
      <c r="AA51" s="203"/>
      <c r="AB51" s="203"/>
      <c r="AC51" s="203"/>
      <c r="AD51" s="203"/>
      <c r="AE51" s="203" t="s">
        <v>520</v>
      </c>
      <c r="AF51" s="203"/>
      <c r="AG51" s="203"/>
      <c r="AH51" s="203"/>
      <c r="AI51" s="203"/>
      <c r="AJ51" s="203"/>
      <c r="AK51" s="203"/>
      <c r="AL51" s="203" t="s">
        <v>520</v>
      </c>
      <c r="AM51" s="203"/>
      <c r="AN51" s="203"/>
      <c r="AO51" s="203"/>
      <c r="AP51" s="203"/>
      <c r="AQ51" s="203"/>
      <c r="AR51" s="203"/>
      <c r="AS51" s="203" t="s">
        <v>520</v>
      </c>
      <c r="AT51" s="203"/>
      <c r="AU51" s="203"/>
      <c r="AV51" s="203"/>
      <c r="AW51" s="203"/>
      <c r="AX51" s="203"/>
      <c r="AY51" s="203"/>
      <c r="AZ51" s="203" t="s">
        <v>520</v>
      </c>
      <c r="BA51" s="203"/>
      <c r="BB51" s="203"/>
      <c r="BC51" s="203"/>
      <c r="BD51" s="203"/>
      <c r="BE51" s="203"/>
      <c r="BF51" s="203"/>
      <c r="BG51" s="203" t="s">
        <v>520</v>
      </c>
      <c r="BH51" s="203"/>
      <c r="BI51" s="203"/>
      <c r="BJ51" s="203"/>
      <c r="BK51" s="203"/>
      <c r="BL51" s="203"/>
      <c r="BM51" s="203"/>
      <c r="BN51" s="203" t="s">
        <v>520</v>
      </c>
      <c r="BO51" s="203"/>
      <c r="BP51" s="203"/>
      <c r="BQ51" s="203"/>
      <c r="BR51" s="203"/>
      <c r="BS51" s="203"/>
      <c r="BT51" s="203"/>
      <c r="BU51" s="203" t="s">
        <v>520</v>
      </c>
      <c r="BV51" s="203"/>
      <c r="BW51" s="203"/>
      <c r="BX51" s="203"/>
      <c r="BY51" s="203"/>
      <c r="BZ51" s="203"/>
      <c r="CA51" s="203"/>
      <c r="CB51" s="89"/>
      <c r="CC51" s="89"/>
    </row>
    <row r="52" spans="3:81" s="194" customFormat="1" ht="11.25" customHeight="1">
      <c r="C52" s="203" t="s">
        <v>521</v>
      </c>
      <c r="D52" s="203"/>
      <c r="E52" s="203"/>
      <c r="F52" s="203"/>
      <c r="G52" s="203"/>
      <c r="H52" s="203"/>
      <c r="I52" s="203"/>
      <c r="J52" s="203" t="s">
        <v>521</v>
      </c>
      <c r="K52" s="203"/>
      <c r="L52" s="203"/>
      <c r="M52" s="203"/>
      <c r="N52" s="203"/>
      <c r="O52" s="203"/>
      <c r="P52" s="203"/>
      <c r="Q52" s="203" t="s">
        <v>521</v>
      </c>
      <c r="R52" s="203"/>
      <c r="S52" s="203"/>
      <c r="T52" s="203"/>
      <c r="U52" s="203"/>
      <c r="V52" s="203"/>
      <c r="W52" s="203"/>
      <c r="X52" s="203" t="s">
        <v>521</v>
      </c>
      <c r="Y52" s="203"/>
      <c r="Z52" s="203"/>
      <c r="AA52" s="203"/>
      <c r="AB52" s="203"/>
      <c r="AC52" s="203"/>
      <c r="AD52" s="203"/>
      <c r="AE52" s="203" t="s">
        <v>521</v>
      </c>
      <c r="AF52" s="203"/>
      <c r="AG52" s="203"/>
      <c r="AH52" s="203"/>
      <c r="AI52" s="203"/>
      <c r="AJ52" s="203"/>
      <c r="AK52" s="203"/>
      <c r="AL52" s="203" t="s">
        <v>521</v>
      </c>
      <c r="AM52" s="203"/>
      <c r="AN52" s="203"/>
      <c r="AO52" s="203"/>
      <c r="AP52" s="203"/>
      <c r="AQ52" s="203"/>
      <c r="AR52" s="203"/>
      <c r="AS52" s="203" t="s">
        <v>521</v>
      </c>
      <c r="AT52" s="203"/>
      <c r="AU52" s="203"/>
      <c r="AV52" s="203"/>
      <c r="AW52" s="203"/>
      <c r="AX52" s="203"/>
      <c r="AY52" s="203"/>
      <c r="AZ52" s="203" t="s">
        <v>521</v>
      </c>
      <c r="BA52" s="203"/>
      <c r="BB52" s="203"/>
      <c r="BC52" s="203"/>
      <c r="BD52" s="203"/>
      <c r="BE52" s="203"/>
      <c r="BF52" s="203"/>
      <c r="BG52" s="203" t="s">
        <v>521</v>
      </c>
      <c r="BH52" s="203"/>
      <c r="BI52" s="203"/>
      <c r="BJ52" s="203"/>
      <c r="BK52" s="203"/>
      <c r="BL52" s="203"/>
      <c r="BM52" s="203"/>
      <c r="BN52" s="203" t="s">
        <v>521</v>
      </c>
      <c r="BO52" s="203"/>
      <c r="BP52" s="203"/>
      <c r="BQ52" s="203"/>
      <c r="BR52" s="203"/>
      <c r="BS52" s="203"/>
      <c r="BT52" s="203"/>
      <c r="BU52" s="203" t="s">
        <v>521</v>
      </c>
      <c r="BV52" s="203"/>
      <c r="BW52" s="203"/>
      <c r="BX52" s="203"/>
      <c r="BY52" s="203"/>
      <c r="BZ52" s="203"/>
      <c r="CA52" s="203"/>
      <c r="CB52" s="89"/>
      <c r="CC52" s="89"/>
    </row>
    <row r="53" spans="3:81" s="194" customFormat="1" ht="12.75">
      <c r="C53" s="203" t="s">
        <v>522</v>
      </c>
      <c r="D53" s="203"/>
      <c r="E53" s="203"/>
      <c r="F53" s="203"/>
      <c r="G53" s="203"/>
      <c r="H53" s="203"/>
      <c r="I53" s="203"/>
      <c r="J53" s="203" t="s">
        <v>522</v>
      </c>
      <c r="K53" s="203"/>
      <c r="L53" s="203"/>
      <c r="M53" s="203"/>
      <c r="N53" s="203"/>
      <c r="O53" s="203"/>
      <c r="P53" s="203"/>
      <c r="Q53" s="203" t="s">
        <v>522</v>
      </c>
      <c r="R53" s="203"/>
      <c r="S53" s="203"/>
      <c r="T53" s="203"/>
      <c r="U53" s="203"/>
      <c r="V53" s="203"/>
      <c r="W53" s="203"/>
      <c r="X53" s="203" t="s">
        <v>522</v>
      </c>
      <c r="Y53" s="203"/>
      <c r="Z53" s="203"/>
      <c r="AA53" s="203"/>
      <c r="AB53" s="203"/>
      <c r="AC53" s="203"/>
      <c r="AD53" s="203"/>
      <c r="AE53" s="203" t="s">
        <v>522</v>
      </c>
      <c r="AF53" s="203"/>
      <c r="AG53" s="203"/>
      <c r="AH53" s="203"/>
      <c r="AI53" s="203"/>
      <c r="AJ53" s="203"/>
      <c r="AK53" s="203"/>
      <c r="AL53" s="203" t="s">
        <v>522</v>
      </c>
      <c r="AM53" s="203"/>
      <c r="AN53" s="203"/>
      <c r="AO53" s="203"/>
      <c r="AP53" s="203"/>
      <c r="AQ53" s="203"/>
      <c r="AR53" s="203"/>
      <c r="AS53" s="203" t="s">
        <v>522</v>
      </c>
      <c r="AT53" s="203"/>
      <c r="AU53" s="203"/>
      <c r="AV53" s="203"/>
      <c r="AW53" s="203"/>
      <c r="AX53" s="203"/>
      <c r="AY53" s="203"/>
      <c r="AZ53" s="203" t="s">
        <v>522</v>
      </c>
      <c r="BA53" s="203"/>
      <c r="BB53" s="203"/>
      <c r="BC53" s="203"/>
      <c r="BD53" s="203"/>
      <c r="BE53" s="203"/>
      <c r="BF53" s="203"/>
      <c r="BG53" s="203" t="s">
        <v>522</v>
      </c>
      <c r="BH53" s="203"/>
      <c r="BI53" s="203"/>
      <c r="BJ53" s="203"/>
      <c r="BK53" s="203"/>
      <c r="BL53" s="203"/>
      <c r="BM53" s="203"/>
      <c r="BN53" s="203" t="s">
        <v>522</v>
      </c>
      <c r="BO53" s="203"/>
      <c r="BP53" s="203"/>
      <c r="BQ53" s="203"/>
      <c r="BR53" s="203"/>
      <c r="BS53" s="203"/>
      <c r="BT53" s="203"/>
      <c r="BU53" s="203" t="s">
        <v>522</v>
      </c>
      <c r="BV53" s="203"/>
      <c r="BW53" s="203"/>
      <c r="BX53" s="203"/>
      <c r="BY53" s="203"/>
      <c r="BZ53" s="203"/>
      <c r="CA53" s="203"/>
      <c r="CB53" s="89"/>
      <c r="CC53" s="89"/>
    </row>
    <row r="54" spans="3:81" s="194" customFormat="1" ht="11.25" customHeight="1">
      <c r="C54" s="203" t="s">
        <v>523</v>
      </c>
      <c r="D54" s="203"/>
      <c r="E54" s="203"/>
      <c r="F54" s="203"/>
      <c r="G54" s="203"/>
      <c r="H54" s="203"/>
      <c r="I54" s="203"/>
      <c r="J54" s="203" t="s">
        <v>523</v>
      </c>
      <c r="K54" s="203"/>
      <c r="L54" s="203"/>
      <c r="M54" s="203"/>
      <c r="N54" s="203"/>
      <c r="O54" s="203"/>
      <c r="P54" s="203"/>
      <c r="Q54" s="203" t="s">
        <v>523</v>
      </c>
      <c r="R54" s="203"/>
      <c r="S54" s="203"/>
      <c r="T54" s="203"/>
      <c r="U54" s="203"/>
      <c r="V54" s="203"/>
      <c r="W54" s="203"/>
      <c r="X54" s="203" t="s">
        <v>523</v>
      </c>
      <c r="Y54" s="203"/>
      <c r="Z54" s="203"/>
      <c r="AA54" s="203"/>
      <c r="AB54" s="203"/>
      <c r="AC54" s="203"/>
      <c r="AD54" s="203"/>
      <c r="AE54" s="203" t="s">
        <v>523</v>
      </c>
      <c r="AF54" s="203"/>
      <c r="AG54" s="203"/>
      <c r="AH54" s="203"/>
      <c r="AI54" s="203"/>
      <c r="AJ54" s="203"/>
      <c r="AK54" s="203"/>
      <c r="AL54" s="203" t="s">
        <v>523</v>
      </c>
      <c r="AM54" s="203"/>
      <c r="AN54" s="203"/>
      <c r="AO54" s="203"/>
      <c r="AP54" s="203"/>
      <c r="AQ54" s="203"/>
      <c r="AR54" s="203"/>
      <c r="AS54" s="203" t="s">
        <v>523</v>
      </c>
      <c r="AT54" s="203"/>
      <c r="AU54" s="203"/>
      <c r="AV54" s="203"/>
      <c r="AW54" s="203"/>
      <c r="AX54" s="203"/>
      <c r="AY54" s="203"/>
      <c r="AZ54" s="203" t="s">
        <v>523</v>
      </c>
      <c r="BA54" s="203"/>
      <c r="BB54" s="203"/>
      <c r="BC54" s="203"/>
      <c r="BD54" s="203"/>
      <c r="BE54" s="203"/>
      <c r="BF54" s="203"/>
      <c r="BG54" s="203" t="s">
        <v>523</v>
      </c>
      <c r="BH54" s="203"/>
      <c r="BI54" s="203"/>
      <c r="BJ54" s="203"/>
      <c r="BK54" s="203"/>
      <c r="BL54" s="203"/>
      <c r="BM54" s="203"/>
      <c r="BN54" s="203" t="s">
        <v>523</v>
      </c>
      <c r="BO54" s="203"/>
      <c r="BP54" s="203"/>
      <c r="BQ54" s="203"/>
      <c r="BR54" s="203"/>
      <c r="BS54" s="203"/>
      <c r="BT54" s="203"/>
      <c r="BU54" s="203" t="s">
        <v>523</v>
      </c>
      <c r="BV54" s="203"/>
      <c r="BW54" s="203"/>
      <c r="BX54" s="203"/>
      <c r="BY54" s="203"/>
      <c r="BZ54" s="203"/>
      <c r="CA54" s="203"/>
      <c r="CB54" s="89"/>
      <c r="CC54" s="89"/>
    </row>
    <row r="55" spans="3:81" s="194" customFormat="1" ht="12.75">
      <c r="C55" s="203" t="s">
        <v>524</v>
      </c>
      <c r="D55" s="203"/>
      <c r="E55" s="203"/>
      <c r="F55" s="203"/>
      <c r="G55" s="203"/>
      <c r="H55" s="203"/>
      <c r="I55" s="203"/>
      <c r="J55" s="203" t="s">
        <v>524</v>
      </c>
      <c r="K55" s="203"/>
      <c r="L55" s="203"/>
      <c r="M55" s="203"/>
      <c r="N55" s="203"/>
      <c r="O55" s="203"/>
      <c r="P55" s="203"/>
      <c r="Q55" s="203" t="s">
        <v>524</v>
      </c>
      <c r="R55" s="203"/>
      <c r="S55" s="203"/>
      <c r="T55" s="203"/>
      <c r="U55" s="203"/>
      <c r="V55" s="203"/>
      <c r="W55" s="203"/>
      <c r="X55" s="203" t="s">
        <v>524</v>
      </c>
      <c r="Y55" s="203"/>
      <c r="Z55" s="203"/>
      <c r="AA55" s="203"/>
      <c r="AB55" s="203"/>
      <c r="AC55" s="203"/>
      <c r="AD55" s="203"/>
      <c r="AE55" s="203" t="s">
        <v>524</v>
      </c>
      <c r="AF55" s="203"/>
      <c r="AG55" s="203"/>
      <c r="AH55" s="203"/>
      <c r="AI55" s="203"/>
      <c r="AJ55" s="203"/>
      <c r="AK55" s="203"/>
      <c r="AL55" s="203" t="s">
        <v>524</v>
      </c>
      <c r="AM55" s="203"/>
      <c r="AN55" s="203"/>
      <c r="AO55" s="203"/>
      <c r="AP55" s="203"/>
      <c r="AQ55" s="203"/>
      <c r="AR55" s="203"/>
      <c r="AS55" s="203" t="s">
        <v>524</v>
      </c>
      <c r="AT55" s="203"/>
      <c r="AU55" s="203"/>
      <c r="AV55" s="203"/>
      <c r="AW55" s="203"/>
      <c r="AX55" s="203"/>
      <c r="AY55" s="203"/>
      <c r="AZ55" s="203" t="s">
        <v>524</v>
      </c>
      <c r="BA55" s="203"/>
      <c r="BB55" s="203"/>
      <c r="BC55" s="203"/>
      <c r="BD55" s="203"/>
      <c r="BE55" s="203"/>
      <c r="BF55" s="203"/>
      <c r="BG55" s="203" t="s">
        <v>524</v>
      </c>
      <c r="BH55" s="203"/>
      <c r="BI55" s="203"/>
      <c r="BJ55" s="203"/>
      <c r="BK55" s="203"/>
      <c r="BL55" s="203"/>
      <c r="BM55" s="203"/>
      <c r="BN55" s="203" t="s">
        <v>524</v>
      </c>
      <c r="BO55" s="203"/>
      <c r="BP55" s="203"/>
      <c r="BQ55" s="203"/>
      <c r="BR55" s="203"/>
      <c r="BS55" s="203"/>
      <c r="BT55" s="203"/>
      <c r="BU55" s="203" t="s">
        <v>524</v>
      </c>
      <c r="BV55" s="203"/>
      <c r="BW55" s="203"/>
      <c r="BX55" s="203"/>
      <c r="BY55" s="203"/>
      <c r="BZ55" s="203"/>
      <c r="CA55" s="203"/>
      <c r="CB55" s="89"/>
      <c r="CC55" s="89"/>
    </row>
    <row r="56" spans="1:79" s="194" customFormat="1" ht="12.75">
      <c r="A56" s="95"/>
      <c r="B56" s="95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</row>
    <row r="57" spans="1:79" s="194" customFormat="1" ht="12.75">
      <c r="A57" s="95"/>
      <c r="B57" s="95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</row>
    <row r="58" spans="1:79" ht="12.75">
      <c r="A58"/>
      <c r="B5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</row>
    <row r="59" spans="1:79" ht="12.75">
      <c r="A59"/>
      <c r="B5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</row>
    <row r="61" spans="1:79" ht="12.75">
      <c r="A61" s="88" t="s">
        <v>188</v>
      </c>
      <c r="C61" s="10">
        <f>'3.2. Yfirlit'!B14</f>
        <v>1218878.399</v>
      </c>
      <c r="D61" s="10">
        <f>'3.2. Yfirlit'!C14</f>
        <v>1267567.573</v>
      </c>
      <c r="E61" s="10">
        <f>'3.2. Yfirlit'!D14</f>
        <v>4536439.349</v>
      </c>
      <c r="F61" s="10">
        <f>'3.2. Yfirlit'!E14</f>
        <v>844465.15</v>
      </c>
      <c r="G61" s="10">
        <f>'3.2. Yfirlit'!F14</f>
        <v>811341.705</v>
      </c>
      <c r="H61" s="10">
        <f>'3.2. Yfirlit'!G14</f>
        <v>380263.69</v>
      </c>
      <c r="I61" s="10">
        <f>'3.2. Yfirlit'!H14</f>
        <v>94491.715</v>
      </c>
      <c r="J61" s="10">
        <f>'3.2. Yfirlit'!I14</f>
        <v>320265.663</v>
      </c>
      <c r="K61" s="10">
        <f>'3.2. Yfirlit'!J14</f>
        <v>556299.864</v>
      </c>
      <c r="L61" s="10">
        <f>'3.2. Yfirlit'!K14</f>
        <v>113625.042</v>
      </c>
      <c r="M61" s="10">
        <f>'3.2. Yfirlit'!L14</f>
        <v>224520.789</v>
      </c>
      <c r="N61" s="10">
        <f>'3.2. Yfirlit'!M14</f>
        <v>480804.413</v>
      </c>
      <c r="O61" s="10">
        <f>'3.2. Yfirlit'!N14</f>
        <v>203481.88</v>
      </c>
      <c r="P61" s="10">
        <f>'3.2. Yfirlit'!O14</f>
        <v>69906.276</v>
      </c>
      <c r="Q61" s="10">
        <f>'3.2. Yfirlit'!P14</f>
        <v>266839.617</v>
      </c>
      <c r="R61" s="10">
        <f>'3.2. Yfirlit'!Q14</f>
        <v>168846.17</v>
      </c>
      <c r="S61" s="10">
        <f>'3.2. Yfirlit'!R14</f>
        <v>51098.743</v>
      </c>
      <c r="T61" s="10">
        <f>'3.2. Yfirlit'!S14</f>
        <v>190790.157</v>
      </c>
      <c r="U61" s="10">
        <f>'3.2. Yfirlit'!T14</f>
        <v>40195.864</v>
      </c>
      <c r="V61" s="10">
        <f>'3.2. Yfirlit'!U14</f>
        <v>142394.439</v>
      </c>
      <c r="W61" s="10">
        <f>'3.2. Yfirlit'!V14</f>
        <v>128551.951</v>
      </c>
      <c r="X61" s="10">
        <f>'3.2. Yfirlit'!W14</f>
        <v>299966.752</v>
      </c>
      <c r="Y61" s="10">
        <f>'3.2. Yfirlit'!X14</f>
        <v>33421.819</v>
      </c>
      <c r="Z61" s="10">
        <f>'3.2. Yfirlit'!Y14</f>
        <v>8779.114</v>
      </c>
      <c r="AA61" s="10">
        <f>'3.2. Yfirlit'!Z14</f>
        <v>101926.711</v>
      </c>
      <c r="AB61" s="10">
        <f>'3.2. Yfirlit'!AA14</f>
        <v>0</v>
      </c>
      <c r="AC61" s="10">
        <f>'3.2. Yfirlit'!AB14</f>
        <v>659030.364</v>
      </c>
      <c r="AD61" s="10">
        <f>'3.2. Yfirlit'!AC14</f>
        <v>108143.961</v>
      </c>
      <c r="AE61" s="10">
        <f>'3.2. Yfirlit'!AD14</f>
        <v>98517.107</v>
      </c>
      <c r="AF61" s="10">
        <f>'3.2. Yfirlit'!AE14</f>
        <v>103870.889</v>
      </c>
      <c r="AG61" s="10">
        <f>'3.2. Yfirlit'!AF14</f>
        <v>28965.942</v>
      </c>
      <c r="AH61" s="10">
        <f>'3.2. Yfirlit'!AG14</f>
        <v>39577.814</v>
      </c>
      <c r="AI61" s="10">
        <f>'3.2. Yfirlit'!AH14</f>
        <v>46162.816</v>
      </c>
      <c r="AJ61" s="10">
        <f>'3.2. Yfirlit'!AI14</f>
        <v>8042</v>
      </c>
      <c r="AK61" s="10">
        <f>'3.2. Yfirlit'!AJ14</f>
        <v>62297.362</v>
      </c>
      <c r="AL61" s="10">
        <f>'3.2. Yfirlit'!AK14</f>
        <v>27091.602</v>
      </c>
      <c r="AM61" s="10">
        <f>'3.2. Yfirlit'!AL14</f>
        <v>26437.667</v>
      </c>
      <c r="AN61" s="10">
        <f>'3.2. Yfirlit'!AM14</f>
        <v>21721.72</v>
      </c>
      <c r="AO61" s="10">
        <f>'3.2. Yfirlit'!AN14</f>
        <v>14031.289</v>
      </c>
      <c r="AP61" s="10">
        <f>'3.2. Yfirlit'!AO14</f>
        <v>40722.12</v>
      </c>
      <c r="AQ61" s="10">
        <f>'3.2. Yfirlit'!AP14</f>
        <v>61639.441</v>
      </c>
      <c r="AR61" s="10">
        <f>'3.2. Yfirlit'!AQ14</f>
        <v>32656.195</v>
      </c>
      <c r="AS61" s="10">
        <f>'3.2. Yfirlit'!AR14</f>
        <v>7762.956</v>
      </c>
      <c r="AT61" s="10">
        <f>'3.2. Yfirlit'!AS14</f>
        <v>83322.171</v>
      </c>
      <c r="AU61" s="10">
        <f>'3.2. Yfirlit'!AT14</f>
        <v>15638.343</v>
      </c>
      <c r="AV61" s="10">
        <f>'3.2. Yfirlit'!AU14</f>
        <v>28682.104</v>
      </c>
      <c r="AW61" s="10">
        <f>'3.2. Yfirlit'!AV14</f>
        <v>39463.303</v>
      </c>
      <c r="AX61" s="10">
        <f>'3.2. Yfirlit'!AW14</f>
        <v>39087.208</v>
      </c>
      <c r="AY61" s="10">
        <f>'3.2. Yfirlit'!AX14</f>
        <v>28113.501</v>
      </c>
      <c r="AZ61" s="10">
        <f>'3.2. Yfirlit'!AY14</f>
        <v>1440</v>
      </c>
      <c r="BA61" s="10">
        <f>'3.2. Yfirlit'!AZ14</f>
        <v>34159.959</v>
      </c>
      <c r="BB61" s="10">
        <f>'3.2. Yfirlit'!BA14</f>
        <v>6671.608</v>
      </c>
      <c r="BC61" s="10">
        <f>'3.2. Yfirlit'!BB14</f>
        <v>33525.999</v>
      </c>
      <c r="BD61" s="10">
        <f>'3.2. Yfirlit'!BC14</f>
        <v>32438.567</v>
      </c>
      <c r="BE61" s="10">
        <f>'3.2. Yfirlit'!BD14</f>
        <v>18200.41</v>
      </c>
      <c r="BF61" s="10">
        <f>'3.2. Yfirlit'!BE14</f>
        <v>97784.2</v>
      </c>
      <c r="BG61" s="10">
        <f>'3.2. Yfirlit'!BF14</f>
        <v>15615.442</v>
      </c>
      <c r="BH61" s="10">
        <f>'3.2. Yfirlit'!BG14</f>
        <v>16941.235</v>
      </c>
      <c r="BI61" s="10">
        <f>'3.2. Yfirlit'!BH14</f>
        <v>4035.125</v>
      </c>
      <c r="BJ61" s="10">
        <f>'3.2. Yfirlit'!BI14</f>
        <v>141.804</v>
      </c>
      <c r="BK61" s="10">
        <f>'3.2. Yfirlit'!BJ14</f>
        <v>32791.42</v>
      </c>
      <c r="BL61" s="10">
        <f>'3.2. Yfirlit'!BK14</f>
        <v>0</v>
      </c>
      <c r="BM61" s="10">
        <f>'3.2. Yfirlit'!BL14</f>
        <v>4897.387</v>
      </c>
      <c r="BN61" s="10">
        <f>'3.2. Yfirlit'!BM14</f>
        <v>1326.31</v>
      </c>
      <c r="BO61" s="10">
        <f>'3.2. Yfirlit'!BN14</f>
        <v>134240.083</v>
      </c>
      <c r="BP61" s="10">
        <f>'3.2. Yfirlit'!BO14</f>
        <v>19726.68</v>
      </c>
      <c r="BQ61" s="10"/>
      <c r="BR61" s="10"/>
      <c r="BS61" s="10"/>
      <c r="BT61" s="10">
        <f>SUM(C61:BQ61)</f>
        <v>14630076.949000001</v>
      </c>
      <c r="BU61" s="110">
        <f>SUM(E61+X61+AB61+AC61+AF61+AH61+AP61+AR61+AT61+AW61+BD61+BE61+BF61+BH61+BK61+BL61+BM61+BO61+BP61)</f>
        <v>6192068.939000002</v>
      </c>
      <c r="BV61" s="10">
        <f>SUM(D61+G61+H61+L61+M61+O61+Q61+R61+T61+AA61+AL61+AM61+AV61)</f>
        <v>3811414.7069999995</v>
      </c>
      <c r="BW61" s="10">
        <f>SUM(C61+F61+I61+J61+K61+N61+P61+S61+V61+W61+Z61+AD61+AE61+AI61+AK61+AN61+AO61+AQ61+AX61+AY61+BA61+BC61+BG61+BN61)</f>
        <v>4480277.841999998</v>
      </c>
      <c r="BX61" s="10">
        <f>SUM(BU61:BW61)</f>
        <v>14483761.488</v>
      </c>
      <c r="BY61" s="10">
        <f>SUM(U61+Y61+AG61+AJ61+AS61+AU61+AZ61+BB61+BI61+BJ61)</f>
        <v>146315.461</v>
      </c>
      <c r="BZ61" s="10"/>
      <c r="CA61" s="10">
        <f>SUM(BX61:BY61)</f>
        <v>14630076.949</v>
      </c>
    </row>
    <row r="62" spans="72:79" ht="12.75">
      <c r="BT62" s="10">
        <f aca="true" t="shared" si="16" ref="BT62:BT67">SUM(C62:BQ62)</f>
        <v>0</v>
      </c>
      <c r="BU62" s="110">
        <f aca="true" t="shared" si="17" ref="BU62:BU98">SUM(E62+X62+AB62+AC62+AF62+AH62+AP62+AR62+AT62+AW62+BD62+BE62+BF62+BH62+BK62+BL62+BM62+BO62+BP62)</f>
        <v>0</v>
      </c>
      <c r="BV62" s="10">
        <f aca="true" t="shared" si="18" ref="BV62:BV98">SUM(D62+G62+H62+L62+M62+O62+Q62+R62+T62+AA62+AL62+AM62+AV62)</f>
        <v>0</v>
      </c>
      <c r="BW62" s="10">
        <f aca="true" t="shared" si="19" ref="BW62:BW98">SUM(C62+F62+I62+J62+K62+N62+P62+S62+V62+W62+Z62+AD62+AE62+AI62+AK62+AN62+AO62+AQ62+AX62+AY62+BA62+BC62+BG62+BN62)</f>
        <v>0</v>
      </c>
      <c r="BX62" s="10">
        <f aca="true" t="shared" si="20" ref="BX62:BX98">SUM(BU62:BW62)</f>
        <v>0</v>
      </c>
      <c r="BY62" s="10">
        <f aca="true" t="shared" si="21" ref="BY62:BY98">SUM(U62+Y62+AG62+AJ62+AS62+AU62+AZ62+BB62+BI62+BJ62)</f>
        <v>0</v>
      </c>
      <c r="CA62" s="10">
        <f aca="true" t="shared" si="22" ref="CA62:CA98">SUM(BX62:BY62)</f>
        <v>0</v>
      </c>
    </row>
    <row r="63" spans="1:79" ht="12.75">
      <c r="A63" s="47" t="s">
        <v>189</v>
      </c>
      <c r="C63" s="89">
        <f aca="true" t="shared" si="23" ref="C63:H63">C61*(C25/100)</f>
        <v>738640.309794</v>
      </c>
      <c r="D63" s="89">
        <f t="shared" si="23"/>
        <v>760540.5438</v>
      </c>
      <c r="E63" s="89">
        <f t="shared" si="23"/>
        <v>3202726.180394</v>
      </c>
      <c r="F63" s="89">
        <f t="shared" si="23"/>
        <v>363120.0145</v>
      </c>
      <c r="G63" s="89">
        <f t="shared" si="23"/>
        <v>491673.07323</v>
      </c>
      <c r="H63" s="89">
        <f t="shared" si="23"/>
        <v>200113.7668625</v>
      </c>
      <c r="I63" s="89">
        <f aca="true" t="shared" si="24" ref="I63:BP63">I61*(I25/100)</f>
        <v>52225.5708805</v>
      </c>
      <c r="J63" s="89">
        <f>J61*(J25/100)</f>
        <v>247885.623162</v>
      </c>
      <c r="K63" s="89">
        <f t="shared" si="24"/>
        <v>382956.82637759997</v>
      </c>
      <c r="L63" s="89">
        <f>L61*(L25/100)</f>
        <v>50563.143690000004</v>
      </c>
      <c r="M63" s="89">
        <f t="shared" si="24"/>
        <v>90481.877967</v>
      </c>
      <c r="N63" s="89">
        <f t="shared" si="24"/>
        <v>313532.55771729996</v>
      </c>
      <c r="O63" s="89">
        <f t="shared" si="24"/>
        <v>82613.64328</v>
      </c>
      <c r="P63" s="89">
        <f t="shared" si="24"/>
        <v>43992.019486799996</v>
      </c>
      <c r="Q63" s="89">
        <f t="shared" si="24"/>
        <v>121145.186118</v>
      </c>
      <c r="R63" s="89">
        <f t="shared" si="24"/>
        <v>59602.69801</v>
      </c>
      <c r="S63" s="89">
        <f t="shared" si="24"/>
        <v>40368.00697</v>
      </c>
      <c r="T63" s="89">
        <f t="shared" si="24"/>
        <v>92914.80645900001</v>
      </c>
      <c r="U63" s="89">
        <f>U61*(U25/100)</f>
        <v>40195.864</v>
      </c>
      <c r="V63" s="89">
        <f>V61*(V25/100)</f>
        <v>103050.85550430001</v>
      </c>
      <c r="W63" s="89">
        <f>W61*(W25/100)</f>
        <v>92814.508622</v>
      </c>
      <c r="X63" s="89">
        <f t="shared" si="24"/>
        <v>259171.273728</v>
      </c>
      <c r="Y63" s="89">
        <f>Y61*(Y25/100)</f>
        <v>27806.953408000005</v>
      </c>
      <c r="Z63" s="89">
        <f>Z61*(Z25/100)</f>
        <v>3845.251931999999</v>
      </c>
      <c r="AA63" s="89">
        <f t="shared" si="24"/>
        <v>49740.234968</v>
      </c>
      <c r="AB63" s="89">
        <f aca="true" t="shared" si="25" ref="AB63:AG63">AB61*(AB25/100)</f>
        <v>0</v>
      </c>
      <c r="AC63" s="89">
        <f t="shared" si="25"/>
        <v>433773.7855847999</v>
      </c>
      <c r="AD63" s="89">
        <f t="shared" si="25"/>
        <v>47723.9299893</v>
      </c>
      <c r="AE63" s="89">
        <f t="shared" si="25"/>
        <v>58420.644451</v>
      </c>
      <c r="AF63" s="89">
        <f t="shared" si="25"/>
        <v>72917.364078</v>
      </c>
      <c r="AG63" s="89">
        <f t="shared" si="25"/>
        <v>28467.7277976</v>
      </c>
      <c r="AH63" s="89">
        <f t="shared" si="24"/>
        <v>35422.14353</v>
      </c>
      <c r="AI63" s="89">
        <f>AI61*(AI25/100)</f>
        <v>30144.318848</v>
      </c>
      <c r="AJ63" s="89">
        <f>AJ61*(AJ25/100)</f>
        <v>8042</v>
      </c>
      <c r="AK63" s="89">
        <f t="shared" si="24"/>
        <v>49158.848354199996</v>
      </c>
      <c r="AL63" s="89">
        <f t="shared" si="24"/>
        <v>11676.480462</v>
      </c>
      <c r="AM63" s="89">
        <f t="shared" si="24"/>
        <v>15228.096192000003</v>
      </c>
      <c r="AN63" s="89">
        <f t="shared" si="24"/>
        <v>16141.410132</v>
      </c>
      <c r="AO63" s="89">
        <f t="shared" si="24"/>
        <v>7436.583170000001</v>
      </c>
      <c r="AP63" s="89">
        <f>AP61*(AP25/100)</f>
        <v>29820.808476000006</v>
      </c>
      <c r="AQ63" s="89">
        <f t="shared" si="24"/>
        <v>43572.9208429</v>
      </c>
      <c r="AR63" s="89">
        <f t="shared" si="24"/>
        <v>25537.144490000002</v>
      </c>
      <c r="AS63" s="89">
        <f>AS61*(AS25/100)</f>
        <v>5627.3668044</v>
      </c>
      <c r="AT63" s="89">
        <f t="shared" si="24"/>
        <v>51776.3970594</v>
      </c>
      <c r="AU63" s="89">
        <f>AU61*(AU25/100)</f>
        <v>15638.343</v>
      </c>
      <c r="AV63" s="89">
        <f t="shared" si="24"/>
        <v>9321.6838</v>
      </c>
      <c r="AW63" s="89">
        <f>AW61*(AW25/100)</f>
        <v>24191.004739</v>
      </c>
      <c r="AX63" s="89">
        <f t="shared" si="24"/>
        <v>31895.161727999995</v>
      </c>
      <c r="AY63" s="89">
        <f t="shared" si="24"/>
        <v>20522.85573</v>
      </c>
      <c r="AZ63" s="89">
        <f>AZ61*(AZ25/100)</f>
        <v>1440</v>
      </c>
      <c r="BA63" s="89">
        <f t="shared" si="24"/>
        <v>26764.3278765</v>
      </c>
      <c r="BB63" s="89">
        <f>BB61*(BB25/100)</f>
        <v>6671.608</v>
      </c>
      <c r="BC63" s="89">
        <f t="shared" si="24"/>
        <v>23803.459290000003</v>
      </c>
      <c r="BD63" s="89">
        <f t="shared" si="24"/>
        <v>22609.681199000002</v>
      </c>
      <c r="BE63" s="89">
        <f t="shared" si="24"/>
        <v>11420.757274999998</v>
      </c>
      <c r="BF63" s="89">
        <f t="shared" si="24"/>
        <v>72751.44480000001</v>
      </c>
      <c r="BG63" s="89">
        <f t="shared" si="24"/>
        <v>6902.025364</v>
      </c>
      <c r="BH63" s="89">
        <f t="shared" si="24"/>
        <v>12536.5139</v>
      </c>
      <c r="BI63" s="89">
        <f t="shared" si="24"/>
        <v>1894.8947</v>
      </c>
      <c r="BJ63" s="89">
        <f t="shared" si="24"/>
        <v>141.804</v>
      </c>
      <c r="BK63" s="89">
        <f t="shared" si="24"/>
        <v>19445.312059999997</v>
      </c>
      <c r="BL63" s="89">
        <f>BL61*(BL25/100)</f>
        <v>0</v>
      </c>
      <c r="BM63" s="89">
        <f>BM61*(BM25/100)</f>
        <v>3281.24929</v>
      </c>
      <c r="BN63" s="89">
        <f t="shared" si="24"/>
        <v>1326.31</v>
      </c>
      <c r="BO63" s="89">
        <f t="shared" si="24"/>
        <v>64166.759674</v>
      </c>
      <c r="BP63" s="89">
        <f t="shared" si="24"/>
        <v>12309.44832</v>
      </c>
      <c r="BQ63" s="89"/>
      <c r="BR63" s="89"/>
      <c r="BS63" s="89"/>
      <c r="BT63" s="10">
        <f t="shared" si="16"/>
        <v>9271643.405868106</v>
      </c>
      <c r="BU63" s="110">
        <f t="shared" si="17"/>
        <v>4353857.2685972005</v>
      </c>
      <c r="BV63" s="10">
        <f t="shared" si="18"/>
        <v>2035615.2348385</v>
      </c>
      <c r="BW63" s="10">
        <f t="shared" si="19"/>
        <v>2746244.340722399</v>
      </c>
      <c r="BX63" s="10">
        <f t="shared" si="20"/>
        <v>9135716.844158098</v>
      </c>
      <c r="BY63" s="10">
        <f t="shared" si="21"/>
        <v>135926.56171</v>
      </c>
      <c r="BZ63" s="89"/>
      <c r="CA63" s="10">
        <f t="shared" si="22"/>
        <v>9271643.405868098</v>
      </c>
    </row>
    <row r="64" spans="1:79" ht="12.75">
      <c r="A64" s="47" t="s">
        <v>190</v>
      </c>
      <c r="C64" s="89">
        <f>C61*(C26/100)</f>
        <v>299844.086154</v>
      </c>
      <c r="D64" s="89">
        <f>D61*(D26/100)</f>
        <v>367594.59617</v>
      </c>
      <c r="E64" s="89">
        <f aca="true" t="shared" si="26" ref="E64:BO64">E61*(E26/100)</f>
        <v>163311.81656400004</v>
      </c>
      <c r="F64" s="89">
        <f>F61*(F26/100)</f>
        <v>354675.363</v>
      </c>
      <c r="G64" s="89">
        <f>G61*(G26/100)</f>
        <v>150098.215425</v>
      </c>
      <c r="H64" s="89">
        <f>H61*(H26/100)</f>
        <v>126646.8219545</v>
      </c>
      <c r="I64" s="89">
        <f t="shared" si="26"/>
        <v>29557.008452000002</v>
      </c>
      <c r="J64" s="89">
        <f>J61*(J26/100)</f>
        <v>19856.471106</v>
      </c>
      <c r="K64" s="89">
        <f t="shared" si="26"/>
        <v>77436.94106879999</v>
      </c>
      <c r="L64" s="89">
        <f>L61*(L26/100)</f>
        <v>37723.513944000006</v>
      </c>
      <c r="M64" s="89">
        <f t="shared" si="26"/>
        <v>100136.27189399999</v>
      </c>
      <c r="N64" s="89">
        <f t="shared" si="26"/>
        <v>108469.4755728</v>
      </c>
      <c r="O64" s="89">
        <f t="shared" si="26"/>
        <v>86276.31711999999</v>
      </c>
      <c r="P64" s="89">
        <f t="shared" si="26"/>
        <v>9842.8036608</v>
      </c>
      <c r="Q64" s="89">
        <f t="shared" si="26"/>
        <v>110204.76182100001</v>
      </c>
      <c r="R64" s="89">
        <f t="shared" si="26"/>
        <v>80033.08458</v>
      </c>
      <c r="S64" s="89">
        <f t="shared" si="26"/>
        <v>3065.92458</v>
      </c>
      <c r="T64" s="89">
        <f t="shared" si="26"/>
        <v>73454.210445</v>
      </c>
      <c r="U64" s="89">
        <f>U61*(U26/100)</f>
        <v>0</v>
      </c>
      <c r="V64" s="89">
        <f>V61*(V26/100)</f>
        <v>2563.0999020000004</v>
      </c>
      <c r="W64" s="89">
        <f>W61*(W26/100)</f>
        <v>20439.760209</v>
      </c>
      <c r="X64" s="89">
        <f t="shared" si="26"/>
        <v>33296.309472</v>
      </c>
      <c r="Y64" s="89">
        <f>Y61*(Y26/100)</f>
        <v>3074.8073480000003</v>
      </c>
      <c r="Z64" s="89">
        <f>Z61*(Z26/100)</f>
        <v>2149.1271072</v>
      </c>
      <c r="AA64" s="89">
        <f t="shared" si="26"/>
        <v>38732.15018</v>
      </c>
      <c r="AB64" s="89">
        <f aca="true" t="shared" si="27" ref="AB64:AG64">AB61*(AB26/100)</f>
        <v>0</v>
      </c>
      <c r="AC64" s="89">
        <f t="shared" si="27"/>
        <v>43166.488842</v>
      </c>
      <c r="AD64" s="89">
        <f t="shared" si="27"/>
        <v>40564.7997711</v>
      </c>
      <c r="AE64" s="89">
        <f t="shared" si="27"/>
        <v>19407.870079</v>
      </c>
      <c r="AF64" s="89">
        <f t="shared" si="27"/>
        <v>7167.091341</v>
      </c>
      <c r="AG64" s="89">
        <f t="shared" si="27"/>
        <v>0</v>
      </c>
      <c r="AH64" s="89">
        <f t="shared" si="26"/>
        <v>356.200326</v>
      </c>
      <c r="AI64" s="89">
        <f>AI61*(AI26/100)</f>
        <v>6693.608319999999</v>
      </c>
      <c r="AJ64" s="89">
        <f>AJ61*(AJ26/100)</f>
        <v>0</v>
      </c>
      <c r="AK64" s="89">
        <f t="shared" si="26"/>
        <v>0</v>
      </c>
      <c r="AL64" s="89">
        <f t="shared" si="26"/>
        <v>10782.457595999998</v>
      </c>
      <c r="AM64" s="89">
        <f t="shared" si="26"/>
        <v>7693.361097000001</v>
      </c>
      <c r="AN64" s="89">
        <f t="shared" si="26"/>
        <v>4116.26594</v>
      </c>
      <c r="AO64" s="89">
        <f t="shared" si="26"/>
        <v>3451.6970940000006</v>
      </c>
      <c r="AP64" s="89">
        <f>AP61*(AP26/100)</f>
        <v>1775.4844320000002</v>
      </c>
      <c r="AQ64" s="89">
        <f t="shared" si="26"/>
        <v>7556.9954666</v>
      </c>
      <c r="AR64" s="89">
        <f t="shared" si="26"/>
        <v>914.3734599999999</v>
      </c>
      <c r="AS64" s="89">
        <f>AS61*(AS26/100)</f>
        <v>907.4895564</v>
      </c>
      <c r="AT64" s="89">
        <f t="shared" si="26"/>
        <v>5199.3034704</v>
      </c>
      <c r="AU64" s="89">
        <f>AU61*(AU26/100)</f>
        <v>0</v>
      </c>
      <c r="AV64" s="89">
        <f t="shared" si="26"/>
        <v>15058.1046</v>
      </c>
      <c r="AW64" s="89">
        <f>AW61*(AW26/100)</f>
        <v>7300.711055</v>
      </c>
      <c r="AX64" s="89">
        <f t="shared" si="26"/>
        <v>4924.988208</v>
      </c>
      <c r="AY64" s="89">
        <f t="shared" si="26"/>
        <v>56.227002</v>
      </c>
      <c r="AZ64" s="89">
        <f>AZ61*(AZ26/100)</f>
        <v>0</v>
      </c>
      <c r="BA64" s="89">
        <f t="shared" si="26"/>
        <v>6213.6965421</v>
      </c>
      <c r="BB64" s="89">
        <f>BB61*(BB26/100)</f>
        <v>0</v>
      </c>
      <c r="BC64" s="89">
        <f t="shared" si="26"/>
        <v>2682.07992</v>
      </c>
      <c r="BD64" s="89">
        <f t="shared" si="26"/>
        <v>1686.8054840000002</v>
      </c>
      <c r="BE64" s="89">
        <f t="shared" si="26"/>
        <v>1505.1739069999999</v>
      </c>
      <c r="BF64" s="89">
        <f t="shared" si="26"/>
        <v>2835.7418</v>
      </c>
      <c r="BG64" s="89">
        <f t="shared" si="26"/>
        <v>4419.170086</v>
      </c>
      <c r="BH64" s="89">
        <f t="shared" si="26"/>
        <v>338.8247</v>
      </c>
      <c r="BI64" s="89">
        <f t="shared" si="26"/>
        <v>0</v>
      </c>
      <c r="BJ64" s="89">
        <f t="shared" si="26"/>
        <v>0</v>
      </c>
      <c r="BK64" s="89">
        <f t="shared" si="26"/>
        <v>3246.35058</v>
      </c>
      <c r="BL64" s="89">
        <f>BL61*(BL26/100)</f>
        <v>0</v>
      </c>
      <c r="BM64" s="89">
        <f>BM61*(BM26/100)</f>
        <v>0</v>
      </c>
      <c r="BN64" s="89">
        <f t="shared" si="26"/>
        <v>0</v>
      </c>
      <c r="BO64" s="89">
        <f t="shared" si="26"/>
        <v>5638.083486000001</v>
      </c>
      <c r="BP64" s="89">
        <f>BP61*(BP26/100)</f>
        <v>0</v>
      </c>
      <c r="BQ64" s="89"/>
      <c r="BR64" s="89"/>
      <c r="BS64" s="89"/>
      <c r="BT64" s="10">
        <f t="shared" si="16"/>
        <v>2514142.3818917</v>
      </c>
      <c r="BU64" s="110">
        <f t="shared" si="17"/>
        <v>277738.75891940005</v>
      </c>
      <c r="BV64" s="10">
        <f t="shared" si="18"/>
        <v>1204433.8668265003</v>
      </c>
      <c r="BW64" s="10">
        <f t="shared" si="19"/>
        <v>1027987.4592414001</v>
      </c>
      <c r="BX64" s="10">
        <f t="shared" si="20"/>
        <v>2510160.0849873004</v>
      </c>
      <c r="BY64" s="10">
        <f t="shared" si="21"/>
        <v>3982.2969044</v>
      </c>
      <c r="BZ64" s="89"/>
      <c r="CA64" s="10">
        <f t="shared" si="22"/>
        <v>2514142.3818917004</v>
      </c>
    </row>
    <row r="65" spans="1:79" ht="12.75">
      <c r="A65" s="47" t="s">
        <v>191</v>
      </c>
      <c r="C65" s="89">
        <f>C61*(C27/100)</f>
        <v>140171.015885</v>
      </c>
      <c r="D65" s="89">
        <f>D61*(D27/100)</f>
        <v>114081.08157000001</v>
      </c>
      <c r="E65" s="89">
        <f aca="true" t="shared" si="28" ref="E65:BO65">E61*(E27/100)</f>
        <v>1156792.0339950002</v>
      </c>
      <c r="F65" s="89">
        <f>F61*(F27/100)</f>
        <v>92891.1665</v>
      </c>
      <c r="G65" s="89">
        <f>G61*(G27/100)</f>
        <v>144418.82349</v>
      </c>
      <c r="H65" s="89">
        <f>H61*(H27/100)</f>
        <v>41110.307525899996</v>
      </c>
      <c r="I65" s="89">
        <f t="shared" si="28"/>
        <v>8674.339436999999</v>
      </c>
      <c r="J65" s="89">
        <f>J61*(J27/100)</f>
        <v>51883.037406</v>
      </c>
      <c r="K65" s="89">
        <f t="shared" si="28"/>
        <v>93124.59723359998</v>
      </c>
      <c r="L65" s="89">
        <f>L61*(L27/100)</f>
        <v>21020.63277</v>
      </c>
      <c r="M65" s="89">
        <f t="shared" si="28"/>
        <v>25819.890735</v>
      </c>
      <c r="N65" s="89">
        <f t="shared" si="28"/>
        <v>42647.3514331</v>
      </c>
      <c r="O65" s="89">
        <f t="shared" si="28"/>
        <v>26656.12628</v>
      </c>
      <c r="P65" s="89">
        <f t="shared" si="28"/>
        <v>15393.3619752</v>
      </c>
      <c r="Q65" s="89">
        <f t="shared" si="28"/>
        <v>26417.122083000006</v>
      </c>
      <c r="R65" s="89">
        <f t="shared" si="28"/>
        <v>21612.309760000004</v>
      </c>
      <c r="S65" s="89">
        <f t="shared" si="28"/>
        <v>7153.824020000001</v>
      </c>
      <c r="T65" s="89">
        <f t="shared" si="28"/>
        <v>17743.484601000004</v>
      </c>
      <c r="U65" s="89">
        <f>U61*(U27/100)</f>
        <v>0</v>
      </c>
      <c r="V65" s="89">
        <f>V61*(V27/100)</f>
        <v>35911.8775158</v>
      </c>
      <c r="W65" s="89">
        <f>W61*(W27/100)</f>
        <v>13755.058757</v>
      </c>
      <c r="X65" s="89">
        <f t="shared" si="28"/>
        <v>4199.534527999999</v>
      </c>
      <c r="Y65" s="89">
        <f>Y61*(Y27/100)</f>
        <v>2506.636425</v>
      </c>
      <c r="Z65" s="89">
        <f>Z61*(Z27/100)</f>
        <v>1066.662351</v>
      </c>
      <c r="AA65" s="89">
        <f t="shared" si="28"/>
        <v>9356.8720698</v>
      </c>
      <c r="AB65" s="89">
        <f aca="true" t="shared" si="29" ref="AB65:AG65">AB61*(AB27/100)</f>
        <v>0</v>
      </c>
      <c r="AC65" s="89">
        <f t="shared" si="29"/>
        <v>181101.54402719997</v>
      </c>
      <c r="AD65" s="89">
        <f t="shared" si="29"/>
        <v>13918.127780699997</v>
      </c>
      <c r="AE65" s="89">
        <f t="shared" si="29"/>
        <v>19900.455614</v>
      </c>
      <c r="AF65" s="89">
        <f t="shared" si="29"/>
        <v>23370.950025</v>
      </c>
      <c r="AG65" s="89">
        <f t="shared" si="29"/>
        <v>498.2142024</v>
      </c>
      <c r="AH65" s="89">
        <f t="shared" si="28"/>
        <v>3787.5967998</v>
      </c>
      <c r="AI65" s="89">
        <f>AI61*(AI27/100)</f>
        <v>8863.260672</v>
      </c>
      <c r="AJ65" s="89">
        <f>AJ61*(AJ27/100)</f>
        <v>0</v>
      </c>
      <c r="AK65" s="89">
        <f t="shared" si="28"/>
        <v>13001.4594494</v>
      </c>
      <c r="AL65" s="89">
        <f t="shared" si="28"/>
        <v>3765.7326780000003</v>
      </c>
      <c r="AM65" s="89">
        <f t="shared" si="28"/>
        <v>2802.392702</v>
      </c>
      <c r="AN65" s="89">
        <f t="shared" si="28"/>
        <v>1281.58148</v>
      </c>
      <c r="AO65" s="89">
        <f t="shared" si="28"/>
        <v>2992.8739437</v>
      </c>
      <c r="AP65" s="89">
        <f>AP61*(AP27/100)</f>
        <v>9125.827092</v>
      </c>
      <c r="AQ65" s="89">
        <f t="shared" si="28"/>
        <v>10497.1968023</v>
      </c>
      <c r="AR65" s="89">
        <f t="shared" si="28"/>
        <v>5878.1151</v>
      </c>
      <c r="AS65" s="89">
        <f>AS61*(AS27/100)</f>
        <v>935.4361980000001</v>
      </c>
      <c r="AT65" s="89">
        <f t="shared" si="28"/>
        <v>25754.8830561</v>
      </c>
      <c r="AU65" s="89">
        <f>AU61*(AU27/100)</f>
        <v>0</v>
      </c>
      <c r="AV65" s="89">
        <f t="shared" si="28"/>
        <v>2868.2104</v>
      </c>
      <c r="AW65" s="89">
        <f>AW61*(AW27/100)</f>
        <v>7892.6606</v>
      </c>
      <c r="AX65" s="89">
        <f t="shared" si="28"/>
        <v>2149.79644</v>
      </c>
      <c r="AY65" s="89">
        <f t="shared" si="28"/>
        <v>7253.283258</v>
      </c>
      <c r="AZ65" s="89">
        <f>AZ61*(AZ27/100)</f>
        <v>0</v>
      </c>
      <c r="BA65" s="89">
        <f t="shared" si="28"/>
        <v>1181.9345814</v>
      </c>
      <c r="BB65" s="89">
        <f>BB61*(BB27/100)</f>
        <v>0</v>
      </c>
      <c r="BC65" s="89">
        <f t="shared" si="28"/>
        <v>7040.459790000001</v>
      </c>
      <c r="BD65" s="89">
        <f t="shared" si="28"/>
        <v>7817.694647</v>
      </c>
      <c r="BE65" s="89">
        <f t="shared" si="28"/>
        <v>4772.147502</v>
      </c>
      <c r="BF65" s="89">
        <f t="shared" si="28"/>
        <v>21903.660799999998</v>
      </c>
      <c r="BG65" s="89">
        <f t="shared" si="28"/>
        <v>3454.1357703999997</v>
      </c>
      <c r="BH65" s="89">
        <f t="shared" si="28"/>
        <v>4065.8964</v>
      </c>
      <c r="BI65" s="89">
        <f t="shared" si="28"/>
        <v>2140.2302999999997</v>
      </c>
      <c r="BJ65" s="89">
        <f t="shared" si="28"/>
        <v>0</v>
      </c>
      <c r="BK65" s="89">
        <f t="shared" si="28"/>
        <v>9804.63458</v>
      </c>
      <c r="BL65" s="89">
        <f>BL61*(BL27/100)</f>
        <v>0</v>
      </c>
      <c r="BM65" s="89">
        <f>BM61*(BM27/100)</f>
        <v>1616.13771</v>
      </c>
      <c r="BN65" s="89">
        <f t="shared" si="28"/>
        <v>0</v>
      </c>
      <c r="BO65" s="89">
        <f t="shared" si="28"/>
        <v>64166.759674</v>
      </c>
      <c r="BP65" s="89">
        <f>BP61*(BP27/100)</f>
        <v>7417.23168</v>
      </c>
      <c r="BQ65" s="89"/>
      <c r="BR65" s="89"/>
      <c r="BS65" s="89"/>
      <c r="BT65" s="10">
        <f t="shared" si="16"/>
        <v>2597427.6701018014</v>
      </c>
      <c r="BU65" s="110">
        <f t="shared" si="17"/>
        <v>1539467.3082161</v>
      </c>
      <c r="BV65" s="10">
        <f t="shared" si="18"/>
        <v>457672.98666470003</v>
      </c>
      <c r="BW65" s="10">
        <f t="shared" si="19"/>
        <v>594206.8580956002</v>
      </c>
      <c r="BX65" s="10">
        <f t="shared" si="20"/>
        <v>2591347.1529764</v>
      </c>
      <c r="BY65" s="10">
        <f t="shared" si="21"/>
        <v>6080.5171254</v>
      </c>
      <c r="BZ65" s="89"/>
      <c r="CA65" s="10">
        <f t="shared" si="22"/>
        <v>2597427.6701018</v>
      </c>
    </row>
    <row r="66" spans="1:79" ht="12.75">
      <c r="A66" s="47" t="s">
        <v>192</v>
      </c>
      <c r="C66" s="89">
        <f>C61*(C28/100)</f>
        <v>40222.987167</v>
      </c>
      <c r="D66" s="89">
        <f>D61*(D28/100)</f>
        <v>25351.35146</v>
      </c>
      <c r="E66" s="89">
        <f aca="true" t="shared" si="30" ref="E66:BO66">E61*(E28/100)</f>
        <v>13609.318047</v>
      </c>
      <c r="F66" s="89">
        <f>F61*(F28/100)</f>
        <v>33778.606</v>
      </c>
      <c r="G66" s="89">
        <f>G61*(G28/100)</f>
        <v>25151.592855</v>
      </c>
      <c r="H66" s="89">
        <f>H61*(H28/100)</f>
        <v>12385.188383300001</v>
      </c>
      <c r="I66" s="89">
        <f t="shared" si="30"/>
        <v>4034.796230499999</v>
      </c>
      <c r="J66" s="89">
        <f>J61*(J28/100)</f>
        <v>640.531326</v>
      </c>
      <c r="K66" s="89">
        <f t="shared" si="30"/>
        <v>2781.49932</v>
      </c>
      <c r="L66" s="89">
        <f>L61*(L28/100)</f>
        <v>4317.751596</v>
      </c>
      <c r="M66" s="89">
        <f t="shared" si="30"/>
        <v>8082.748404000001</v>
      </c>
      <c r="N66" s="89">
        <f t="shared" si="30"/>
        <v>16203.1087181</v>
      </c>
      <c r="O66" s="89">
        <f t="shared" si="30"/>
        <v>7935.79332</v>
      </c>
      <c r="P66" s="89">
        <f t="shared" si="30"/>
        <v>678.0908772</v>
      </c>
      <c r="Q66" s="89">
        <f t="shared" si="30"/>
        <v>9072.546978000002</v>
      </c>
      <c r="R66" s="89">
        <f t="shared" si="30"/>
        <v>7598.07765</v>
      </c>
      <c r="S66" s="89">
        <f t="shared" si="30"/>
        <v>510.98743</v>
      </c>
      <c r="T66" s="89">
        <f t="shared" si="30"/>
        <v>6677.655495000001</v>
      </c>
      <c r="U66" s="89">
        <f>U61*(U28/100)</f>
        <v>0</v>
      </c>
      <c r="V66" s="89">
        <f>V61*(V28/100)</f>
        <v>868.6060779000001</v>
      </c>
      <c r="W66" s="89">
        <f>W61*(W28/100)</f>
        <v>1542.6234120000001</v>
      </c>
      <c r="X66" s="89">
        <f t="shared" si="30"/>
        <v>3299.6342720000002</v>
      </c>
      <c r="Y66" s="89">
        <f>Y61*(Y28/100)</f>
        <v>33.421819000000006</v>
      </c>
      <c r="Z66" s="89">
        <f>Z61*(Z28/100)</f>
        <v>1718.0726098</v>
      </c>
      <c r="AA66" s="89">
        <f t="shared" si="30"/>
        <v>4077.06844</v>
      </c>
      <c r="AB66" s="89">
        <f aca="true" t="shared" si="31" ref="AB66:AG66">AB61*(AB28/100)</f>
        <v>0</v>
      </c>
      <c r="AC66" s="89">
        <f t="shared" si="31"/>
        <v>922.6425096</v>
      </c>
      <c r="AD66" s="89">
        <f t="shared" si="31"/>
        <v>5937.1034589</v>
      </c>
      <c r="AE66" s="89">
        <f t="shared" si="31"/>
        <v>788.1368560000001</v>
      </c>
      <c r="AF66" s="89">
        <f t="shared" si="31"/>
        <v>415.48355599999996</v>
      </c>
      <c r="AG66" s="89">
        <f t="shared" si="31"/>
        <v>0</v>
      </c>
      <c r="AH66" s="89">
        <f t="shared" si="30"/>
        <v>3.9577814</v>
      </c>
      <c r="AI66" s="89">
        <f>AI61*(AI28/100)</f>
        <v>461.62816</v>
      </c>
      <c r="AJ66" s="89">
        <f>AJ61*(AJ28/100)</f>
        <v>0</v>
      </c>
      <c r="AK66" s="89">
        <f t="shared" si="30"/>
        <v>137.05419640000002</v>
      </c>
      <c r="AL66" s="89">
        <f t="shared" si="30"/>
        <v>866.9312639999999</v>
      </c>
      <c r="AM66" s="89">
        <f t="shared" si="30"/>
        <v>713.8170090000001</v>
      </c>
      <c r="AN66" s="89">
        <f t="shared" si="30"/>
        <v>182.462448</v>
      </c>
      <c r="AO66" s="89">
        <f t="shared" si="30"/>
        <v>150.13479230000002</v>
      </c>
      <c r="AP66" s="89">
        <f>AP61*(AP28/100)</f>
        <v>0</v>
      </c>
      <c r="AQ66" s="89">
        <f t="shared" si="30"/>
        <v>12.3278882</v>
      </c>
      <c r="AR66" s="89">
        <f t="shared" si="30"/>
        <v>326.56195</v>
      </c>
      <c r="AS66" s="89">
        <f>AS61*(AS28/100)</f>
        <v>292.66344119999997</v>
      </c>
      <c r="AT66" s="89">
        <f t="shared" si="30"/>
        <v>599.9196312</v>
      </c>
      <c r="AU66" s="89">
        <f>AU61*(AU28/100)</f>
        <v>0</v>
      </c>
      <c r="AV66" s="89">
        <f t="shared" si="30"/>
        <v>1434.1052</v>
      </c>
      <c r="AW66" s="89">
        <f>AW61*(AW28/100)</f>
        <v>78.926606</v>
      </c>
      <c r="AX66" s="89">
        <f t="shared" si="30"/>
        <v>117.261624</v>
      </c>
      <c r="AY66" s="89">
        <f t="shared" si="30"/>
        <v>281.13501</v>
      </c>
      <c r="AZ66" s="89">
        <f>AZ61*(AZ28/100)</f>
        <v>0</v>
      </c>
      <c r="BA66" s="89">
        <f t="shared" si="30"/>
        <v>0</v>
      </c>
      <c r="BB66" s="89">
        <f>BB61*(BB28/100)</f>
        <v>0</v>
      </c>
      <c r="BC66" s="89">
        <f t="shared" si="30"/>
        <v>0</v>
      </c>
      <c r="BD66" s="89">
        <f t="shared" si="30"/>
        <v>324.38567</v>
      </c>
      <c r="BE66" s="89">
        <f t="shared" si="30"/>
        <v>500.511275</v>
      </c>
      <c r="BF66" s="89">
        <f t="shared" si="30"/>
        <v>293.3526</v>
      </c>
      <c r="BG66" s="89">
        <f t="shared" si="30"/>
        <v>840.1107796</v>
      </c>
      <c r="BH66" s="89">
        <f t="shared" si="30"/>
        <v>0</v>
      </c>
      <c r="BI66" s="89">
        <f t="shared" si="30"/>
        <v>0</v>
      </c>
      <c r="BJ66" s="89">
        <f t="shared" si="30"/>
        <v>0</v>
      </c>
      <c r="BK66" s="89">
        <f t="shared" si="30"/>
        <v>295.12278000000003</v>
      </c>
      <c r="BL66" s="89">
        <f>BL61*(BL28/100)</f>
        <v>0</v>
      </c>
      <c r="BM66" s="89">
        <f>BM61*(BM28/100)</f>
        <v>0</v>
      </c>
      <c r="BN66" s="89">
        <f t="shared" si="30"/>
        <v>0</v>
      </c>
      <c r="BO66" s="89">
        <f t="shared" si="30"/>
        <v>268.48016600000005</v>
      </c>
      <c r="BP66" s="89">
        <f>BP61*(BP28/100)</f>
        <v>0</v>
      </c>
      <c r="BQ66" s="89"/>
      <c r="BR66" s="89"/>
      <c r="BS66" s="89"/>
      <c r="BT66" s="10">
        <f t="shared" si="16"/>
        <v>246816.27454060005</v>
      </c>
      <c r="BU66" s="110">
        <f t="shared" si="17"/>
        <v>20938.2968442</v>
      </c>
      <c r="BV66" s="10">
        <f t="shared" si="18"/>
        <v>113664.62805430002</v>
      </c>
      <c r="BW66" s="10">
        <f t="shared" si="19"/>
        <v>111887.2643819</v>
      </c>
      <c r="BX66" s="10">
        <f t="shared" si="20"/>
        <v>246490.18928040002</v>
      </c>
      <c r="BY66" s="10">
        <f t="shared" si="21"/>
        <v>326.0852602</v>
      </c>
      <c r="BZ66" s="89"/>
      <c r="CA66" s="10">
        <f t="shared" si="22"/>
        <v>246816.27454060002</v>
      </c>
    </row>
    <row r="67" spans="1:79" ht="12.75">
      <c r="A67" s="88" t="s">
        <v>193</v>
      </c>
      <c r="C67" s="89">
        <f aca="true" t="shared" si="32" ref="C67:H67">SUM(C63:C66)</f>
        <v>1218878.399</v>
      </c>
      <c r="D67" s="89">
        <f t="shared" si="32"/>
        <v>1267567.5729999999</v>
      </c>
      <c r="E67" s="89">
        <f t="shared" si="32"/>
        <v>4536439.349</v>
      </c>
      <c r="F67" s="89">
        <f t="shared" si="32"/>
        <v>844465.15</v>
      </c>
      <c r="G67" s="89">
        <f t="shared" si="32"/>
        <v>811341.7050000001</v>
      </c>
      <c r="H67" s="89">
        <f t="shared" si="32"/>
        <v>380256.0847262</v>
      </c>
      <c r="I67" s="89">
        <f aca="true" t="shared" si="33" ref="I67:BP67">SUM(I63:I66)</f>
        <v>94491.715</v>
      </c>
      <c r="J67" s="89">
        <f>SUM(J63:J66)</f>
        <v>320265.663</v>
      </c>
      <c r="K67" s="89">
        <f t="shared" si="33"/>
        <v>556299.8639999998</v>
      </c>
      <c r="L67" s="89">
        <f>SUM(L63:L66)</f>
        <v>113625.042</v>
      </c>
      <c r="M67" s="89">
        <f t="shared" si="33"/>
        <v>224520.789</v>
      </c>
      <c r="N67" s="89">
        <f t="shared" si="33"/>
        <v>480852.49344129994</v>
      </c>
      <c r="O67" s="89">
        <f t="shared" si="33"/>
        <v>203481.87999999998</v>
      </c>
      <c r="P67" s="89">
        <f t="shared" si="33"/>
        <v>69906.27599999998</v>
      </c>
      <c r="Q67" s="89">
        <f t="shared" si="33"/>
        <v>266839.617</v>
      </c>
      <c r="R67" s="89">
        <f t="shared" si="33"/>
        <v>168846.16999999998</v>
      </c>
      <c r="S67" s="89">
        <f t="shared" si="33"/>
        <v>51098.743</v>
      </c>
      <c r="T67" s="89">
        <f t="shared" si="33"/>
        <v>190790.15700000004</v>
      </c>
      <c r="U67" s="89">
        <f>SUM(U63:U66)</f>
        <v>40195.864</v>
      </c>
      <c r="V67" s="89">
        <f>SUM(V63:V66)</f>
        <v>142394.439</v>
      </c>
      <c r="W67" s="89">
        <f>SUM(W63:W66)</f>
        <v>128551.951</v>
      </c>
      <c r="X67" s="89">
        <f t="shared" si="33"/>
        <v>299966.752</v>
      </c>
      <c r="Y67" s="89">
        <f>SUM(Y63:Y66)</f>
        <v>33421.819</v>
      </c>
      <c r="Z67" s="89">
        <f>SUM(Z63:Z66)</f>
        <v>8779.114</v>
      </c>
      <c r="AA67" s="89">
        <f t="shared" si="33"/>
        <v>101906.3256578</v>
      </c>
      <c r="AB67" s="89">
        <f aca="true" t="shared" si="34" ref="AB67:AG67">SUM(AB63:AB66)</f>
        <v>0</v>
      </c>
      <c r="AC67" s="89">
        <f t="shared" si="34"/>
        <v>658964.4609636</v>
      </c>
      <c r="AD67" s="89">
        <f t="shared" si="34"/>
        <v>108143.961</v>
      </c>
      <c r="AE67" s="89">
        <f t="shared" si="34"/>
        <v>98517.10699999999</v>
      </c>
      <c r="AF67" s="89">
        <f t="shared" si="34"/>
        <v>103870.88900000001</v>
      </c>
      <c r="AG67" s="89">
        <f t="shared" si="34"/>
        <v>28965.942</v>
      </c>
      <c r="AH67" s="89">
        <f t="shared" si="33"/>
        <v>39569.8984372</v>
      </c>
      <c r="AI67" s="89">
        <f>SUM(AI63:AI66)</f>
        <v>46162.816</v>
      </c>
      <c r="AJ67" s="89">
        <f>SUM(AJ63:AJ66)</f>
        <v>8042</v>
      </c>
      <c r="AK67" s="89">
        <f t="shared" si="33"/>
        <v>62297.361999999994</v>
      </c>
      <c r="AL67" s="89">
        <f t="shared" si="33"/>
        <v>27091.602</v>
      </c>
      <c r="AM67" s="89">
        <f t="shared" si="33"/>
        <v>26437.667000000005</v>
      </c>
      <c r="AN67" s="89">
        <f t="shared" si="33"/>
        <v>21721.72</v>
      </c>
      <c r="AO67" s="89">
        <f t="shared" si="33"/>
        <v>14031.289</v>
      </c>
      <c r="AP67" s="89">
        <f>SUM(AP63:AP66)</f>
        <v>40722.12000000001</v>
      </c>
      <c r="AQ67" s="89">
        <f t="shared" si="33"/>
        <v>61639.441</v>
      </c>
      <c r="AR67" s="89">
        <f t="shared" si="33"/>
        <v>32656.195</v>
      </c>
      <c r="AS67" s="89">
        <f>SUM(AS63:AS66)</f>
        <v>7762.956</v>
      </c>
      <c r="AT67" s="89">
        <f t="shared" si="33"/>
        <v>83330.50321709999</v>
      </c>
      <c r="AU67" s="89">
        <f>SUM(AU63:AU66)</f>
        <v>15638.343</v>
      </c>
      <c r="AV67" s="89">
        <f t="shared" si="33"/>
        <v>28682.104</v>
      </c>
      <c r="AW67" s="89">
        <f>SUM(AW63:AW66)</f>
        <v>39463.303</v>
      </c>
      <c r="AX67" s="89">
        <f t="shared" si="33"/>
        <v>39087.20799999999</v>
      </c>
      <c r="AY67" s="89">
        <f t="shared" si="33"/>
        <v>28113.501</v>
      </c>
      <c r="AZ67" s="89">
        <f>SUM(AZ63:AZ66)</f>
        <v>1440</v>
      </c>
      <c r="BA67" s="89">
        <f t="shared" si="33"/>
        <v>34159.958999999995</v>
      </c>
      <c r="BB67" s="89">
        <f>SUM(BB63:BB66)</f>
        <v>6671.608</v>
      </c>
      <c r="BC67" s="89">
        <f t="shared" si="33"/>
        <v>33525.999</v>
      </c>
      <c r="BD67" s="89">
        <f t="shared" si="33"/>
        <v>32438.567000000003</v>
      </c>
      <c r="BE67" s="89">
        <f t="shared" si="33"/>
        <v>18198.589959</v>
      </c>
      <c r="BF67" s="89">
        <f t="shared" si="33"/>
        <v>97784.20000000001</v>
      </c>
      <c r="BG67" s="89">
        <f t="shared" si="33"/>
        <v>15615.442</v>
      </c>
      <c r="BH67" s="89">
        <f t="shared" si="33"/>
        <v>16941.235</v>
      </c>
      <c r="BI67" s="89">
        <f t="shared" si="33"/>
        <v>4035.125</v>
      </c>
      <c r="BJ67" s="89">
        <f t="shared" si="33"/>
        <v>141.804</v>
      </c>
      <c r="BK67" s="89">
        <f t="shared" si="33"/>
        <v>32791.41999999999</v>
      </c>
      <c r="BL67" s="89">
        <f>SUM(BL63:BL66)</f>
        <v>0</v>
      </c>
      <c r="BM67" s="89">
        <f>SUM(BM63:BM66)</f>
        <v>4897.387000000001</v>
      </c>
      <c r="BN67" s="89">
        <f t="shared" si="33"/>
        <v>1326.31</v>
      </c>
      <c r="BO67" s="89">
        <f t="shared" si="33"/>
        <v>134240.083</v>
      </c>
      <c r="BP67" s="89">
        <f t="shared" si="33"/>
        <v>19726.68</v>
      </c>
      <c r="BQ67" s="89"/>
      <c r="BR67" s="89"/>
      <c r="BS67" s="89"/>
      <c r="BT67" s="10">
        <f t="shared" si="16"/>
        <v>14630029.7324022</v>
      </c>
      <c r="BU67" s="110">
        <f t="shared" si="17"/>
        <v>6192001.632576902</v>
      </c>
      <c r="BV67" s="10">
        <f t="shared" si="18"/>
        <v>3811386.716383999</v>
      </c>
      <c r="BW67" s="10">
        <f t="shared" si="19"/>
        <v>4480325.922441298</v>
      </c>
      <c r="BX67" s="10">
        <f t="shared" si="20"/>
        <v>14483714.2714022</v>
      </c>
      <c r="BY67" s="10">
        <f t="shared" si="21"/>
        <v>146315.461</v>
      </c>
      <c r="BZ67" s="89"/>
      <c r="CA67" s="10">
        <f t="shared" si="22"/>
        <v>14630029.7324022</v>
      </c>
    </row>
    <row r="68" spans="1:92" ht="12.75">
      <c r="A68" s="47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89">
        <f aca="true" t="shared" si="35" ref="BT68:BY68">SUM(BT63:BT66)</f>
        <v>14630029.732402205</v>
      </c>
      <c r="BU68" s="89">
        <f t="shared" si="35"/>
        <v>6192001.6325769005</v>
      </c>
      <c r="BV68" s="89">
        <f t="shared" si="35"/>
        <v>3811386.716384</v>
      </c>
      <c r="BW68" s="89">
        <f t="shared" si="35"/>
        <v>4480325.922441299</v>
      </c>
      <c r="BX68" s="89">
        <f t="shared" si="35"/>
        <v>14483714.2714022</v>
      </c>
      <c r="BY68" s="89">
        <f t="shared" si="35"/>
        <v>146315.46099999998</v>
      </c>
      <c r="BZ68" s="89"/>
      <c r="CA68" s="89">
        <f>SUM(CA63:CA66)</f>
        <v>14630029.732402198</v>
      </c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</row>
    <row r="69" spans="1:79" ht="12.75">
      <c r="A69" s="47" t="s">
        <v>574</v>
      </c>
      <c r="BU69" s="110"/>
      <c r="BV69" s="10">
        <f t="shared" si="18"/>
        <v>0</v>
      </c>
      <c r="BW69" s="10">
        <f t="shared" si="19"/>
        <v>0</v>
      </c>
      <c r="BX69" s="10">
        <f t="shared" si="20"/>
        <v>0</v>
      </c>
      <c r="BY69" s="10">
        <f t="shared" si="21"/>
        <v>0</v>
      </c>
      <c r="CA69" s="10">
        <f t="shared" si="22"/>
        <v>0</v>
      </c>
    </row>
    <row r="70" spans="1:79" ht="12.75">
      <c r="A70" s="211" t="s">
        <v>577</v>
      </c>
      <c r="BU70" s="110"/>
      <c r="BV70" s="10">
        <f t="shared" si="18"/>
        <v>0</v>
      </c>
      <c r="BW70" s="10">
        <f t="shared" si="19"/>
        <v>0</v>
      </c>
      <c r="BX70" s="10">
        <f t="shared" si="20"/>
        <v>0</v>
      </c>
      <c r="BY70" s="10">
        <f t="shared" si="21"/>
        <v>0</v>
      </c>
      <c r="CA70" s="10">
        <f t="shared" si="22"/>
        <v>0</v>
      </c>
    </row>
    <row r="71" spans="1:81" ht="12.75">
      <c r="A71" s="74" t="s">
        <v>380</v>
      </c>
      <c r="C71" s="110">
        <v>3788481.344</v>
      </c>
      <c r="D71" s="110">
        <v>1935451.051</v>
      </c>
      <c r="E71" s="110">
        <v>4847762.765000001</v>
      </c>
      <c r="F71" s="110">
        <v>1637954.584</v>
      </c>
      <c r="G71" s="110">
        <v>1642817.1550000003</v>
      </c>
      <c r="H71" s="110">
        <v>827323.517</v>
      </c>
      <c r="I71" s="110">
        <v>519027.75299999997</v>
      </c>
      <c r="J71" s="110"/>
      <c r="K71" s="110">
        <v>545069.417</v>
      </c>
      <c r="L71" s="110">
        <v>828974.6849999999</v>
      </c>
      <c r="M71" s="110">
        <v>680081.085</v>
      </c>
      <c r="N71" s="110">
        <v>313702.69800000003</v>
      </c>
      <c r="O71" s="110">
        <v>532829.7289999999</v>
      </c>
      <c r="P71" s="110">
        <v>584054.5190000001</v>
      </c>
      <c r="Q71" s="110">
        <v>476792.89200000005</v>
      </c>
      <c r="R71" s="110">
        <v>380429.793</v>
      </c>
      <c r="S71" s="110">
        <v>617830.3559999999</v>
      </c>
      <c r="T71" s="110">
        <v>341690.87200000003</v>
      </c>
      <c r="U71" s="110">
        <v>707592.3970000001</v>
      </c>
      <c r="V71" s="110">
        <v>277338.97400000005</v>
      </c>
      <c r="W71" s="110">
        <v>253875.59600000002</v>
      </c>
      <c r="X71" s="110">
        <v>314212.419</v>
      </c>
      <c r="Y71" s="110">
        <v>820067.642</v>
      </c>
      <c r="Z71" s="110">
        <v>171335.52399999998</v>
      </c>
      <c r="AA71" s="110">
        <v>283291.02300000004</v>
      </c>
      <c r="AB71" s="110">
        <v>2665183.353</v>
      </c>
      <c r="AC71" s="110">
        <v>739558.269</v>
      </c>
      <c r="AD71" s="110">
        <v>168963.959</v>
      </c>
      <c r="AE71" s="110">
        <v>110535.73</v>
      </c>
      <c r="AF71" s="110"/>
      <c r="AG71" s="110">
        <v>614699.4580000001</v>
      </c>
      <c r="AH71" s="110">
        <v>126999.728</v>
      </c>
      <c r="AI71" s="110">
        <v>102574.58200000001</v>
      </c>
      <c r="AJ71" s="110">
        <v>945453</v>
      </c>
      <c r="AK71" s="110">
        <v>87502.283</v>
      </c>
      <c r="AL71" s="110">
        <v>60567.469000000005</v>
      </c>
      <c r="AM71" s="110">
        <v>87079.006</v>
      </c>
      <c r="AN71" s="110">
        <v>75394.929</v>
      </c>
      <c r="AO71" s="110">
        <v>66468.17199999999</v>
      </c>
      <c r="AP71" s="110">
        <v>61360.327000000005</v>
      </c>
      <c r="AQ71" s="110"/>
      <c r="AR71" s="110">
        <v>78944.678</v>
      </c>
      <c r="AS71" s="110">
        <v>34495.3</v>
      </c>
      <c r="AT71" s="110">
        <v>95771.901</v>
      </c>
      <c r="AU71" s="110"/>
      <c r="AV71" s="110">
        <v>52040.198</v>
      </c>
      <c r="AW71" s="110">
        <v>39520.72</v>
      </c>
      <c r="AX71" s="110"/>
      <c r="AY71" s="110"/>
      <c r="AZ71" s="110">
        <v>269930.111</v>
      </c>
      <c r="BA71" s="110"/>
      <c r="BB71" s="110"/>
      <c r="BC71" s="110"/>
      <c r="BD71" s="110">
        <v>34886.195999999996</v>
      </c>
      <c r="BE71" s="110">
        <v>18941.403</v>
      </c>
      <c r="BF71" s="110"/>
      <c r="BG71" s="110"/>
      <c r="BH71" s="110">
        <v>13719.841</v>
      </c>
      <c r="BI71" s="110">
        <v>5133.079</v>
      </c>
      <c r="BJ71" s="110"/>
      <c r="BK71" s="110">
        <v>23220.957000000002</v>
      </c>
      <c r="BL71" s="110"/>
      <c r="BM71" s="110"/>
      <c r="BN71" s="110"/>
      <c r="BO71" s="110">
        <v>132929.852</v>
      </c>
      <c r="BP71" s="110">
        <v>19565.517999999996</v>
      </c>
      <c r="BQ71" s="110"/>
      <c r="BR71" s="110"/>
      <c r="BS71" s="110"/>
      <c r="BT71" s="110">
        <f>SUM(C71:BP71)</f>
        <v>30059427.809000004</v>
      </c>
      <c r="BU71" s="110">
        <f t="shared" si="17"/>
        <v>9212577.927000001</v>
      </c>
      <c r="BV71" s="10">
        <f t="shared" si="18"/>
        <v>8129368.475</v>
      </c>
      <c r="BW71" s="10">
        <f t="shared" si="19"/>
        <v>9320110.420000002</v>
      </c>
      <c r="BX71" s="10">
        <f t="shared" si="20"/>
        <v>26662056.822000004</v>
      </c>
      <c r="BY71" s="10">
        <f t="shared" si="21"/>
        <v>3397370.987</v>
      </c>
      <c r="BZ71" s="110"/>
      <c r="CA71" s="10">
        <f t="shared" si="22"/>
        <v>30059427.809000004</v>
      </c>
      <c r="CB71" s="110"/>
      <c r="CC71" s="110"/>
    </row>
    <row r="72" spans="1:109" ht="12.75">
      <c r="A72" s="74" t="s">
        <v>381</v>
      </c>
      <c r="C72" s="110">
        <v>1213531.062</v>
      </c>
      <c r="D72" s="110">
        <v>1195684.235</v>
      </c>
      <c r="E72" s="110">
        <v>4536887.238000001</v>
      </c>
      <c r="F72" s="110">
        <v>844054.6089999999</v>
      </c>
      <c r="G72" s="110">
        <v>792460.252</v>
      </c>
      <c r="H72" s="110">
        <v>364097.561</v>
      </c>
      <c r="I72" s="110">
        <v>94758.80099999999</v>
      </c>
      <c r="J72" s="110"/>
      <c r="K72" s="110">
        <v>546733.919</v>
      </c>
      <c r="L72" s="110">
        <v>113139.503</v>
      </c>
      <c r="M72" s="110">
        <v>217033.519</v>
      </c>
      <c r="N72" s="110">
        <v>383982.597</v>
      </c>
      <c r="O72" s="110">
        <v>196041.851</v>
      </c>
      <c r="P72" s="110">
        <v>69906.276</v>
      </c>
      <c r="Q72" s="110">
        <v>255312.19700000004</v>
      </c>
      <c r="R72" s="110">
        <v>164948.241</v>
      </c>
      <c r="S72" s="110">
        <v>51194.743</v>
      </c>
      <c r="T72" s="110">
        <v>181760.15099999998</v>
      </c>
      <c r="U72" s="110">
        <v>40195.864</v>
      </c>
      <c r="V72" s="110">
        <v>142394.439</v>
      </c>
      <c r="W72" s="110">
        <v>128656.951</v>
      </c>
      <c r="X72" s="110">
        <v>299998.682</v>
      </c>
      <c r="Y72" s="110">
        <v>33421.819</v>
      </c>
      <c r="Z72" s="110">
        <v>8779.114</v>
      </c>
      <c r="AA72" s="110">
        <v>96556.36899999999</v>
      </c>
      <c r="AB72" s="110">
        <v>0</v>
      </c>
      <c r="AC72" s="110">
        <v>659030.364</v>
      </c>
      <c r="AD72" s="110">
        <v>102082.515</v>
      </c>
      <c r="AE72" s="110">
        <v>97950.537</v>
      </c>
      <c r="AF72" s="110"/>
      <c r="AG72" s="110">
        <v>28965.942</v>
      </c>
      <c r="AH72" s="110">
        <v>39577.814</v>
      </c>
      <c r="AI72" s="110">
        <v>45640.958000000006</v>
      </c>
      <c r="AJ72" s="110">
        <v>8042</v>
      </c>
      <c r="AK72" s="110">
        <v>62297.362</v>
      </c>
      <c r="AL72" s="110">
        <v>25563.635</v>
      </c>
      <c r="AM72" s="110">
        <v>26096.32</v>
      </c>
      <c r="AN72" s="110">
        <v>21723.52</v>
      </c>
      <c r="AO72" s="110">
        <v>14031.289</v>
      </c>
      <c r="AP72" s="110">
        <v>40722.12</v>
      </c>
      <c r="AQ72" s="110"/>
      <c r="AR72" s="110">
        <v>32656.195</v>
      </c>
      <c r="AS72" s="110">
        <v>7762.956</v>
      </c>
      <c r="AT72" s="110">
        <v>83322.171</v>
      </c>
      <c r="AU72" s="110"/>
      <c r="AV72" s="110">
        <v>27220.5</v>
      </c>
      <c r="AW72" s="110">
        <v>39463.303</v>
      </c>
      <c r="AX72" s="110"/>
      <c r="AY72" s="110"/>
      <c r="AZ72" s="110">
        <v>1440</v>
      </c>
      <c r="BA72" s="110"/>
      <c r="BB72" s="110"/>
      <c r="BC72" s="110"/>
      <c r="BD72" s="110">
        <v>32438.567</v>
      </c>
      <c r="BE72" s="110">
        <v>18200.41</v>
      </c>
      <c r="BF72" s="110"/>
      <c r="BG72" s="110"/>
      <c r="BH72" s="110">
        <v>16941.235</v>
      </c>
      <c r="BI72" s="110">
        <v>4035.125</v>
      </c>
      <c r="BJ72" s="110"/>
      <c r="BK72" s="110">
        <v>32791.42</v>
      </c>
      <c r="BL72" s="110"/>
      <c r="BM72" s="110"/>
      <c r="BN72" s="110"/>
      <c r="BO72" s="110">
        <v>134240.083</v>
      </c>
      <c r="BP72" s="110">
        <v>19726.68</v>
      </c>
      <c r="BQ72" s="110"/>
      <c r="BR72" s="110"/>
      <c r="BS72" s="110"/>
      <c r="BT72" s="110">
        <f>SUM(C72:BP72)</f>
        <v>13593493.014000004</v>
      </c>
      <c r="BU72" s="110">
        <f t="shared" si="17"/>
        <v>5985996.2820000015</v>
      </c>
      <c r="BV72" s="10">
        <f t="shared" si="18"/>
        <v>3655914.334</v>
      </c>
      <c r="BW72" s="10">
        <f t="shared" si="19"/>
        <v>3827718.692</v>
      </c>
      <c r="BX72" s="10">
        <f t="shared" si="20"/>
        <v>13469629.308</v>
      </c>
      <c r="BY72" s="10">
        <f t="shared" si="21"/>
        <v>123863.706</v>
      </c>
      <c r="BZ72" s="110"/>
      <c r="CA72" s="10">
        <f t="shared" si="22"/>
        <v>13593493.014</v>
      </c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</row>
    <row r="73" spans="1:109" ht="12.75">
      <c r="A73" s="211" t="s">
        <v>578</v>
      </c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  <c r="BH73" s="110"/>
      <c r="BI73" s="110"/>
      <c r="BJ73" s="110"/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0">
        <f t="shared" si="18"/>
        <v>0</v>
      </c>
      <c r="BW73" s="10">
        <f t="shared" si="19"/>
        <v>0</v>
      </c>
      <c r="BX73" s="10">
        <f t="shared" si="20"/>
        <v>0</v>
      </c>
      <c r="BY73" s="10">
        <f t="shared" si="21"/>
        <v>0</v>
      </c>
      <c r="BZ73" s="110"/>
      <c r="CA73" s="10">
        <f t="shared" si="22"/>
        <v>0</v>
      </c>
      <c r="CB73" s="110"/>
      <c r="CC73" s="110"/>
      <c r="CD73" s="110"/>
      <c r="CE73" s="110"/>
      <c r="CF73" s="110"/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10"/>
      <c r="CX73" s="110"/>
      <c r="CY73" s="110"/>
      <c r="CZ73" s="110"/>
      <c r="DA73" s="110"/>
      <c r="DB73" s="110"/>
      <c r="DC73" s="110"/>
      <c r="DD73" s="110"/>
      <c r="DE73" s="110"/>
    </row>
    <row r="74" spans="1:109" ht="12.75">
      <c r="A74" s="74" t="s">
        <v>575</v>
      </c>
      <c r="C74" s="110">
        <v>75355.436</v>
      </c>
      <c r="D74" s="110">
        <v>67799.334</v>
      </c>
      <c r="E74" s="110">
        <v>69098.926</v>
      </c>
      <c r="F74" s="110">
        <v>36289.986</v>
      </c>
      <c r="G74" s="110">
        <v>47617.441999999995</v>
      </c>
      <c r="H74" s="110">
        <v>24364.972</v>
      </c>
      <c r="I74" s="110">
        <v>19535.129</v>
      </c>
      <c r="J74" s="110"/>
      <c r="K74" s="110">
        <v>24450.723</v>
      </c>
      <c r="L74" s="110">
        <v>30959.411</v>
      </c>
      <c r="M74" s="110">
        <v>31593.76</v>
      </c>
      <c r="N74" s="110">
        <v>19107.86</v>
      </c>
      <c r="O74" s="110">
        <v>25208.065</v>
      </c>
      <c r="P74" s="110">
        <v>10995.883</v>
      </c>
      <c r="Q74" s="110">
        <v>18206.66</v>
      </c>
      <c r="R74" s="110">
        <v>18651.547</v>
      </c>
      <c r="S74" s="110">
        <v>17683.844</v>
      </c>
      <c r="T74" s="110">
        <v>9313.776</v>
      </c>
      <c r="U74" s="110">
        <v>6025.105</v>
      </c>
      <c r="V74" s="110">
        <v>600.912</v>
      </c>
      <c r="W74" s="110">
        <v>4042.843</v>
      </c>
      <c r="X74" s="110">
        <v>6948.868</v>
      </c>
      <c r="Y74" s="110">
        <v>7458.301</v>
      </c>
      <c r="Z74" s="110">
        <v>3154.587</v>
      </c>
      <c r="AA74" s="110">
        <v>9234.038</v>
      </c>
      <c r="AB74" s="110">
        <v>5453.829</v>
      </c>
      <c r="AC74" s="110">
        <v>6945.999</v>
      </c>
      <c r="AD74" s="110">
        <v>5958.718</v>
      </c>
      <c r="AE74" s="110">
        <v>1395.467</v>
      </c>
      <c r="AF74" s="110"/>
      <c r="AG74" s="110">
        <v>3662.595</v>
      </c>
      <c r="AH74" s="110">
        <v>1290.895</v>
      </c>
      <c r="AI74" s="110">
        <v>3759.128</v>
      </c>
      <c r="AJ74" s="110">
        <v>7647</v>
      </c>
      <c r="AK74" s="110">
        <v>1178.995</v>
      </c>
      <c r="AL74" s="110">
        <v>4301.44</v>
      </c>
      <c r="AM74" s="110">
        <v>2987.559</v>
      </c>
      <c r="AN74" s="110">
        <v>1644.993</v>
      </c>
      <c r="AO74" s="110">
        <v>1406.966</v>
      </c>
      <c r="AP74" s="110">
        <v>2712.428</v>
      </c>
      <c r="AQ74" s="110"/>
      <c r="AR74" s="110">
        <v>3232.513</v>
      </c>
      <c r="AS74" s="110">
        <v>796.184</v>
      </c>
      <c r="AT74" s="110">
        <v>1930.401</v>
      </c>
      <c r="AU74" s="110"/>
      <c r="AV74" s="110">
        <v>3400.709</v>
      </c>
      <c r="AW74" s="110">
        <v>806.815</v>
      </c>
      <c r="AX74" s="110"/>
      <c r="AY74" s="110"/>
      <c r="AZ74" s="110">
        <v>978.085</v>
      </c>
      <c r="BA74" s="110"/>
      <c r="BB74" s="110"/>
      <c r="BC74" s="110"/>
      <c r="BD74" s="110">
        <v>1219.25</v>
      </c>
      <c r="BE74" s="110">
        <v>966.969</v>
      </c>
      <c r="BF74" s="110"/>
      <c r="BG74" s="110"/>
      <c r="BH74" s="110">
        <v>281.667</v>
      </c>
      <c r="BI74" s="110">
        <v>137.79</v>
      </c>
      <c r="BJ74" s="110"/>
      <c r="BK74" s="110">
        <v>695.34</v>
      </c>
      <c r="BL74"/>
      <c r="BM74" s="110"/>
      <c r="BN74" s="110"/>
      <c r="BO74" s="110">
        <v>1522.631</v>
      </c>
      <c r="BP74" s="110">
        <v>305.194</v>
      </c>
      <c r="BQ74" s="110"/>
      <c r="BR74" s="110"/>
      <c r="BS74" s="110"/>
      <c r="BT74" s="110">
        <f aca="true" t="shared" si="36" ref="BT74:BT83">SUM(C74:BP74)</f>
        <v>650316.968</v>
      </c>
      <c r="BU74" s="110">
        <f t="shared" si="17"/>
        <v>103411.725</v>
      </c>
      <c r="BV74" s="10">
        <f t="shared" si="18"/>
        <v>293638.713</v>
      </c>
      <c r="BW74" s="10">
        <f t="shared" si="19"/>
        <v>226561.46999999994</v>
      </c>
      <c r="BX74" s="10">
        <f t="shared" si="20"/>
        <v>623611.9079999999</v>
      </c>
      <c r="BY74" s="10">
        <f t="shared" si="21"/>
        <v>26705.06</v>
      </c>
      <c r="BZ74" s="110"/>
      <c r="CA74" s="10">
        <f t="shared" si="22"/>
        <v>650316.968</v>
      </c>
      <c r="CB74" s="110"/>
      <c r="CC74" s="110"/>
      <c r="CD74" s="110"/>
      <c r="CE74" s="110"/>
      <c r="CF74" s="110"/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</row>
    <row r="75" spans="1:109" ht="12.75">
      <c r="A75" s="74" t="s">
        <v>386</v>
      </c>
      <c r="C75" s="110">
        <v>0</v>
      </c>
      <c r="D75" s="110">
        <v>0</v>
      </c>
      <c r="E75" s="110">
        <v>199.373</v>
      </c>
      <c r="F75" s="110">
        <v>0</v>
      </c>
      <c r="G75" s="110">
        <v>-2375.547</v>
      </c>
      <c r="H75" s="110">
        <v>0</v>
      </c>
      <c r="I75" s="110">
        <v>0</v>
      </c>
      <c r="J75" s="110"/>
      <c r="K75" s="110">
        <v>0</v>
      </c>
      <c r="L75" s="110">
        <v>0</v>
      </c>
      <c r="M75" s="110">
        <v>10486.768</v>
      </c>
      <c r="N75" s="110">
        <v>2683.892</v>
      </c>
      <c r="O75" s="110">
        <v>4378.245</v>
      </c>
      <c r="P75" s="110">
        <v>5831.282</v>
      </c>
      <c r="Q75" s="110">
        <v>4226.494</v>
      </c>
      <c r="R75" s="110">
        <v>0</v>
      </c>
      <c r="S75" s="110">
        <v>0</v>
      </c>
      <c r="T75" s="110">
        <v>4809.066</v>
      </c>
      <c r="U75" s="110">
        <v>0</v>
      </c>
      <c r="V75" s="110">
        <v>0</v>
      </c>
      <c r="W75" s="110">
        <v>2116.82</v>
      </c>
      <c r="X75" s="110">
        <v>0</v>
      </c>
      <c r="Y75" s="110">
        <v>0</v>
      </c>
      <c r="Z75" s="110">
        <v>0</v>
      </c>
      <c r="AA75" s="110">
        <v>325.023</v>
      </c>
      <c r="AB75" s="110">
        <v>0</v>
      </c>
      <c r="AC75" s="110">
        <v>196.169</v>
      </c>
      <c r="AD75" s="110">
        <v>4920.063</v>
      </c>
      <c r="AE75" s="110">
        <v>0</v>
      </c>
      <c r="AF75" s="110"/>
      <c r="AG75" s="110">
        <v>0</v>
      </c>
      <c r="AH75" s="110">
        <v>0</v>
      </c>
      <c r="AI75" s="110">
        <v>0</v>
      </c>
      <c r="AJ75" s="110">
        <v>0</v>
      </c>
      <c r="AK75" s="110">
        <v>-215.664</v>
      </c>
      <c r="AL75" s="110">
        <v>0</v>
      </c>
      <c r="AM75" s="110">
        <v>0</v>
      </c>
      <c r="AN75" s="110">
        <v>0</v>
      </c>
      <c r="AO75" s="110">
        <v>0</v>
      </c>
      <c r="AP75" s="110">
        <v>2520.578</v>
      </c>
      <c r="AQ75" s="110"/>
      <c r="AR75" s="110">
        <v>0</v>
      </c>
      <c r="AS75" s="110">
        <v>305.078</v>
      </c>
      <c r="AT75" s="110">
        <v>0</v>
      </c>
      <c r="AU75" s="110"/>
      <c r="AV75" s="110">
        <v>0</v>
      </c>
      <c r="AW75" s="110">
        <v>130.915</v>
      </c>
      <c r="AX75" s="110"/>
      <c r="AY75" s="110"/>
      <c r="AZ75" s="110">
        <v>0</v>
      </c>
      <c r="BA75" s="110"/>
      <c r="BB75" s="110"/>
      <c r="BC75" s="110"/>
      <c r="BD75" s="110">
        <v>0</v>
      </c>
      <c r="BE75" s="110">
        <v>0</v>
      </c>
      <c r="BF75" s="110"/>
      <c r="BG75" s="110"/>
      <c r="BH75" s="110">
        <v>0</v>
      </c>
      <c r="BI75" s="110">
        <v>0</v>
      </c>
      <c r="BJ75" s="110"/>
      <c r="BK75" s="110">
        <v>0</v>
      </c>
      <c r="BL75"/>
      <c r="BM75" s="110"/>
      <c r="BN75" s="110"/>
      <c r="BO75" s="110">
        <v>0</v>
      </c>
      <c r="BP75" s="110">
        <v>0</v>
      </c>
      <c r="BQ75" s="110"/>
      <c r="BR75" s="110"/>
      <c r="BS75" s="110"/>
      <c r="BT75" s="110">
        <f t="shared" si="36"/>
        <v>40538.55500000001</v>
      </c>
      <c r="BU75" s="110">
        <f t="shared" si="17"/>
        <v>3047.035</v>
      </c>
      <c r="BV75" s="10">
        <f t="shared" si="18"/>
        <v>21850.049</v>
      </c>
      <c r="BW75" s="10">
        <f t="shared" si="19"/>
        <v>15336.392999999998</v>
      </c>
      <c r="BX75" s="10">
        <f t="shared" si="20"/>
        <v>40233.477</v>
      </c>
      <c r="BY75" s="10">
        <f t="shared" si="21"/>
        <v>305.078</v>
      </c>
      <c r="BZ75" s="110"/>
      <c r="CA75" s="10">
        <f t="shared" si="22"/>
        <v>40538.555</v>
      </c>
      <c r="CB75" s="110"/>
      <c r="CC75" s="110"/>
      <c r="CD75" s="110"/>
      <c r="CE75" s="110"/>
      <c r="CF75" s="110"/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</row>
    <row r="76" spans="1:109" ht="12.75">
      <c r="A76" s="74" t="s">
        <v>385</v>
      </c>
      <c r="C76" s="12">
        <v>53305.126</v>
      </c>
      <c r="D76" s="12">
        <v>38350.456</v>
      </c>
      <c r="E76" s="12">
        <v>14058.747</v>
      </c>
      <c r="F76" s="12">
        <v>16617.24</v>
      </c>
      <c r="G76" s="12">
        <v>25618.476</v>
      </c>
      <c r="H76" s="12">
        <v>10731.996</v>
      </c>
      <c r="I76" s="12">
        <v>0</v>
      </c>
      <c r="J76" s="12"/>
      <c r="K76" s="12">
        <v>0</v>
      </c>
      <c r="L76" s="12">
        <v>10324.461</v>
      </c>
      <c r="M76" s="12">
        <v>4612.671</v>
      </c>
      <c r="N76" s="12">
        <v>1133.661</v>
      </c>
      <c r="O76" s="12">
        <v>18117.23</v>
      </c>
      <c r="P76" s="12">
        <v>545.027</v>
      </c>
      <c r="Q76" s="12">
        <v>10233.5</v>
      </c>
      <c r="R76" s="12">
        <v>1970.185</v>
      </c>
      <c r="S76" s="12">
        <v>9225.943</v>
      </c>
      <c r="T76" s="12">
        <v>2739.543</v>
      </c>
      <c r="U76" s="12">
        <v>4170.932</v>
      </c>
      <c r="V76" s="12">
        <v>5946.781</v>
      </c>
      <c r="W76" s="12">
        <v>0</v>
      </c>
      <c r="X76" s="12">
        <v>1746.359</v>
      </c>
      <c r="Y76" s="12">
        <v>0</v>
      </c>
      <c r="Z76" s="12">
        <v>0</v>
      </c>
      <c r="AA76" s="12">
        <v>2781.378</v>
      </c>
      <c r="AB76" s="12">
        <v>310.531</v>
      </c>
      <c r="AC76" s="12">
        <v>0</v>
      </c>
      <c r="AD76" s="12">
        <v>2632.65</v>
      </c>
      <c r="AE76" s="12">
        <v>0</v>
      </c>
      <c r="AF76" s="12"/>
      <c r="AG76" s="12">
        <v>0</v>
      </c>
      <c r="AH76" s="12">
        <v>0</v>
      </c>
      <c r="AI76" s="12">
        <v>1240.704</v>
      </c>
      <c r="AJ76" s="12">
        <v>0</v>
      </c>
      <c r="AK76" s="12">
        <v>0</v>
      </c>
      <c r="AL76" s="12">
        <v>1149.655</v>
      </c>
      <c r="AM76" s="12">
        <v>782.402</v>
      </c>
      <c r="AN76" s="12">
        <v>0</v>
      </c>
      <c r="AO76" s="12">
        <v>1380.981</v>
      </c>
      <c r="AP76" s="12">
        <v>3686.309</v>
      </c>
      <c r="AQ76" s="12"/>
      <c r="AR76" s="12">
        <v>0</v>
      </c>
      <c r="AS76" s="12">
        <v>0</v>
      </c>
      <c r="AT76" s="12">
        <v>0</v>
      </c>
      <c r="AU76" s="12"/>
      <c r="AV76" s="12">
        <v>975.526</v>
      </c>
      <c r="AW76" s="12">
        <v>156.225</v>
      </c>
      <c r="AX76" s="12"/>
      <c r="AY76" s="12"/>
      <c r="AZ76" s="12">
        <v>0</v>
      </c>
      <c r="BA76" s="12"/>
      <c r="BB76" s="12"/>
      <c r="BC76" s="12"/>
      <c r="BD76" s="12">
        <v>0</v>
      </c>
      <c r="BE76" s="12">
        <v>0</v>
      </c>
      <c r="BF76" s="12"/>
      <c r="BG76" s="12"/>
      <c r="BH76" s="12">
        <v>0</v>
      </c>
      <c r="BI76" s="12">
        <v>0</v>
      </c>
      <c r="BJ76" s="12"/>
      <c r="BK76" s="12">
        <v>0</v>
      </c>
      <c r="BL76"/>
      <c r="BM76" s="12"/>
      <c r="BN76" s="12"/>
      <c r="BO76" s="12">
        <v>0</v>
      </c>
      <c r="BP76" s="12">
        <v>0</v>
      </c>
      <c r="BQ76" s="110"/>
      <c r="BR76" s="110"/>
      <c r="BS76" s="110"/>
      <c r="BT76" s="110">
        <f t="shared" si="36"/>
        <v>244544.69500000004</v>
      </c>
      <c r="BU76" s="110">
        <f t="shared" si="17"/>
        <v>19958.171</v>
      </c>
      <c r="BV76" s="10">
        <f t="shared" si="18"/>
        <v>128387.47899999999</v>
      </c>
      <c r="BW76" s="10">
        <f t="shared" si="19"/>
        <v>92028.113</v>
      </c>
      <c r="BX76" s="10">
        <f t="shared" si="20"/>
        <v>240373.76299999998</v>
      </c>
      <c r="BY76" s="10">
        <f t="shared" si="21"/>
        <v>4170.932</v>
      </c>
      <c r="BZ76" s="110"/>
      <c r="CA76" s="10">
        <f t="shared" si="22"/>
        <v>244544.69499999998</v>
      </c>
      <c r="CB76" s="110"/>
      <c r="CC76" s="110"/>
      <c r="CD76" s="110"/>
      <c r="CE76" s="110"/>
      <c r="CF76" s="110"/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</row>
    <row r="77" spans="1:109" ht="12.75">
      <c r="A77" s="74" t="s">
        <v>380</v>
      </c>
      <c r="C77" s="110">
        <v>3788481.344</v>
      </c>
      <c r="D77" s="110">
        <v>1935451.051</v>
      </c>
      <c r="E77" s="110">
        <v>4847762.765000001</v>
      </c>
      <c r="F77" s="110">
        <v>1637954.584</v>
      </c>
      <c r="G77" s="110">
        <v>1642817.1550000003</v>
      </c>
      <c r="H77" s="110">
        <v>827323.517</v>
      </c>
      <c r="I77" s="110">
        <v>519027.75299999997</v>
      </c>
      <c r="J77" s="110"/>
      <c r="K77" s="110">
        <v>545069.417</v>
      </c>
      <c r="L77" s="110">
        <v>828974.6849999999</v>
      </c>
      <c r="M77" s="110">
        <v>680081.085</v>
      </c>
      <c r="N77" s="110">
        <v>313702.69800000003</v>
      </c>
      <c r="O77" s="110">
        <v>532829.7289999999</v>
      </c>
      <c r="P77" s="110">
        <v>584054.5190000001</v>
      </c>
      <c r="Q77" s="110">
        <v>476792.89200000005</v>
      </c>
      <c r="R77" s="110">
        <v>380429.793</v>
      </c>
      <c r="S77" s="110">
        <v>617830.3559999999</v>
      </c>
      <c r="T77" s="110">
        <v>341690.87200000003</v>
      </c>
      <c r="U77" s="110">
        <v>707592.3970000001</v>
      </c>
      <c r="V77" s="110">
        <v>277338.97400000005</v>
      </c>
      <c r="W77" s="110">
        <v>253875.59600000002</v>
      </c>
      <c r="X77" s="110">
        <v>314212.419</v>
      </c>
      <c r="Y77" s="110">
        <v>820067.642</v>
      </c>
      <c r="Z77" s="110">
        <v>171335.52399999998</v>
      </c>
      <c r="AA77" s="110">
        <v>283291.02300000004</v>
      </c>
      <c r="AB77" s="110">
        <v>2665183.353</v>
      </c>
      <c r="AC77" s="110">
        <v>739558.269</v>
      </c>
      <c r="AD77" s="110">
        <v>168963.959</v>
      </c>
      <c r="AE77" s="110">
        <v>110535.73</v>
      </c>
      <c r="AF77" s="110"/>
      <c r="AG77" s="110">
        <v>614699.4580000001</v>
      </c>
      <c r="AH77" s="110">
        <v>126999.728</v>
      </c>
      <c r="AI77" s="110">
        <v>102574.58200000001</v>
      </c>
      <c r="AJ77" s="110">
        <v>945453</v>
      </c>
      <c r="AK77" s="110">
        <v>87502.283</v>
      </c>
      <c r="AL77" s="110">
        <v>60567.469000000005</v>
      </c>
      <c r="AM77" s="110">
        <v>87079.006</v>
      </c>
      <c r="AN77" s="110">
        <v>75394.929</v>
      </c>
      <c r="AO77" s="110">
        <v>66468.17199999999</v>
      </c>
      <c r="AP77" s="110">
        <v>61360.327000000005</v>
      </c>
      <c r="AQ77" s="110"/>
      <c r="AR77" s="110">
        <v>78944.678</v>
      </c>
      <c r="AS77" s="110">
        <v>34495.3</v>
      </c>
      <c r="AT77" s="110">
        <v>95771.901</v>
      </c>
      <c r="AU77" s="110"/>
      <c r="AV77" s="110">
        <v>52040.198</v>
      </c>
      <c r="AW77" s="110">
        <v>39520.72</v>
      </c>
      <c r="AX77" s="110"/>
      <c r="AY77" s="110"/>
      <c r="AZ77" s="110">
        <v>269930.111</v>
      </c>
      <c r="BA77" s="110"/>
      <c r="BB77" s="110"/>
      <c r="BC77" s="110"/>
      <c r="BD77" s="110">
        <v>34886.195999999996</v>
      </c>
      <c r="BE77" s="110">
        <v>18941.403</v>
      </c>
      <c r="BF77" s="110"/>
      <c r="BG77" s="110"/>
      <c r="BH77" s="110">
        <v>13719.841</v>
      </c>
      <c r="BI77" s="110">
        <v>5133.079</v>
      </c>
      <c r="BJ77" s="110"/>
      <c r="BK77" s="110">
        <v>23220.957000000002</v>
      </c>
      <c r="BL77"/>
      <c r="BM77" s="110"/>
      <c r="BN77" s="110"/>
      <c r="BO77" s="110">
        <v>132929.852</v>
      </c>
      <c r="BP77" s="110">
        <v>19565.517999999996</v>
      </c>
      <c r="BQ77" s="110"/>
      <c r="BR77" s="110"/>
      <c r="BS77" s="110"/>
      <c r="BT77" s="110">
        <f t="shared" si="36"/>
        <v>30059427.809000004</v>
      </c>
      <c r="BU77" s="110">
        <f t="shared" si="17"/>
        <v>9212577.927000001</v>
      </c>
      <c r="BV77" s="10">
        <f t="shared" si="18"/>
        <v>8129368.475</v>
      </c>
      <c r="BW77" s="10">
        <f t="shared" si="19"/>
        <v>9320110.420000002</v>
      </c>
      <c r="BX77" s="10">
        <f t="shared" si="20"/>
        <v>26662056.822000004</v>
      </c>
      <c r="BY77" s="10">
        <f t="shared" si="21"/>
        <v>3397370.987</v>
      </c>
      <c r="BZ77" s="110"/>
      <c r="CA77" s="10">
        <f t="shared" si="22"/>
        <v>30059427.809000004</v>
      </c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/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</row>
    <row r="78" spans="1:109" ht="12.75">
      <c r="A78" s="211" t="s">
        <v>579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/>
      <c r="BM78" s="110"/>
      <c r="BN78" s="110"/>
      <c r="BO78" s="110"/>
      <c r="BP78" s="110"/>
      <c r="BQ78" s="110"/>
      <c r="BR78" s="110"/>
      <c r="BS78" s="110"/>
      <c r="BT78" s="110"/>
      <c r="BU78" s="110"/>
      <c r="BV78" s="10">
        <f t="shared" si="18"/>
        <v>0</v>
      </c>
      <c r="BW78" s="10">
        <f t="shared" si="19"/>
        <v>0</v>
      </c>
      <c r="BX78" s="10">
        <f t="shared" si="20"/>
        <v>0</v>
      </c>
      <c r="BY78" s="10">
        <f t="shared" si="21"/>
        <v>0</v>
      </c>
      <c r="BZ78" s="110"/>
      <c r="CA78" s="10">
        <f t="shared" si="22"/>
        <v>0</v>
      </c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0"/>
      <c r="CM78" s="110"/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0"/>
      <c r="CY78" s="110"/>
      <c r="CZ78" s="110"/>
      <c r="DA78" s="110"/>
      <c r="DB78" s="110"/>
      <c r="DC78" s="110"/>
      <c r="DD78" s="110"/>
      <c r="DE78" s="110"/>
    </row>
    <row r="79" spans="1:109" ht="12.75">
      <c r="A79" s="74" t="s">
        <v>575</v>
      </c>
      <c r="C79" s="110">
        <v>75355.436</v>
      </c>
      <c r="D79" s="110">
        <v>67799.334</v>
      </c>
      <c r="E79" s="110">
        <v>69098.926</v>
      </c>
      <c r="F79" s="110">
        <v>36289.986</v>
      </c>
      <c r="G79" s="110">
        <v>47617.441999999995</v>
      </c>
      <c r="H79" s="110">
        <v>24364.972</v>
      </c>
      <c r="I79" s="110">
        <v>19535.129</v>
      </c>
      <c r="J79" s="110">
        <v>13290.849</v>
      </c>
      <c r="K79" s="110">
        <v>24450.723</v>
      </c>
      <c r="L79" s="110">
        <v>30959.411</v>
      </c>
      <c r="M79" s="110">
        <v>31593.76</v>
      </c>
      <c r="N79" s="110">
        <v>19107.86</v>
      </c>
      <c r="O79" s="110">
        <v>25208.065</v>
      </c>
      <c r="P79" s="110">
        <v>10995.883</v>
      </c>
      <c r="Q79" s="110">
        <v>18206.66</v>
      </c>
      <c r="R79" s="110">
        <v>18651.547</v>
      </c>
      <c r="S79" s="110">
        <v>17683.844</v>
      </c>
      <c r="T79" s="110">
        <v>9313.776</v>
      </c>
      <c r="U79" s="110">
        <v>6025.105</v>
      </c>
      <c r="V79" s="110">
        <v>600.912</v>
      </c>
      <c r="W79" s="110">
        <v>4042.843</v>
      </c>
      <c r="X79" s="110">
        <v>6948.868</v>
      </c>
      <c r="Y79" s="110">
        <v>7458.301</v>
      </c>
      <c r="Z79" s="110">
        <v>3154.587</v>
      </c>
      <c r="AA79" s="110">
        <v>9234.038</v>
      </c>
      <c r="AB79" s="110">
        <v>5453.829</v>
      </c>
      <c r="AC79" s="110">
        <v>6945.999</v>
      </c>
      <c r="AD79" s="110">
        <v>5958.718</v>
      </c>
      <c r="AE79" s="110">
        <v>1395.467</v>
      </c>
      <c r="AF79" s="110">
        <v>2746.53</v>
      </c>
      <c r="AG79" s="110">
        <v>3662.595</v>
      </c>
      <c r="AH79" s="110">
        <v>1290.895</v>
      </c>
      <c r="AI79" s="110">
        <v>3759.128</v>
      </c>
      <c r="AJ79" s="110">
        <v>7647</v>
      </c>
      <c r="AK79" s="110">
        <v>1178.995</v>
      </c>
      <c r="AL79" s="110">
        <v>4301.44</v>
      </c>
      <c r="AM79" s="110">
        <v>2987.559</v>
      </c>
      <c r="AN79" s="110">
        <v>1644.993</v>
      </c>
      <c r="AO79" s="110">
        <v>1406.966</v>
      </c>
      <c r="AP79" s="110">
        <v>2712.428</v>
      </c>
      <c r="AQ79" s="110">
        <v>1565.087</v>
      </c>
      <c r="AR79" s="110">
        <v>3232.513</v>
      </c>
      <c r="AS79" s="110">
        <v>796.184</v>
      </c>
      <c r="AT79" s="110">
        <v>1930.401</v>
      </c>
      <c r="AU79" s="110">
        <v>819.462</v>
      </c>
      <c r="AV79" s="110">
        <v>3400.709</v>
      </c>
      <c r="AW79" s="110">
        <v>806.815</v>
      </c>
      <c r="AX79" s="110">
        <v>1411.33</v>
      </c>
      <c r="AY79" s="110">
        <v>832.429</v>
      </c>
      <c r="AZ79" s="110">
        <v>978.085</v>
      </c>
      <c r="BA79" s="110">
        <v>1394.957</v>
      </c>
      <c r="BB79" s="110">
        <v>195.873</v>
      </c>
      <c r="BC79" s="110">
        <v>193.543</v>
      </c>
      <c r="BD79" s="110">
        <v>1219.25</v>
      </c>
      <c r="BE79" s="110">
        <v>966.969</v>
      </c>
      <c r="BF79" s="110">
        <v>1977.058</v>
      </c>
      <c r="BG79" s="110">
        <v>946.237</v>
      </c>
      <c r="BH79" s="110">
        <v>281.667</v>
      </c>
      <c r="BI79" s="110">
        <v>137.79</v>
      </c>
      <c r="BJ79" s="110">
        <v>701.266</v>
      </c>
      <c r="BK79" s="110">
        <v>695.34</v>
      </c>
      <c r="BL79"/>
      <c r="BM79" s="110">
        <v>0</v>
      </c>
      <c r="BN79" s="110">
        <v>46.08</v>
      </c>
      <c r="BO79" s="110"/>
      <c r="BP79" s="110"/>
      <c r="BQ79" s="110"/>
      <c r="BR79" s="110"/>
      <c r="BS79" s="110"/>
      <c r="BT79" s="110">
        <f t="shared" si="36"/>
        <v>674609.8439999998</v>
      </c>
      <c r="BU79" s="110">
        <f t="shared" si="17"/>
        <v>106307.48800000001</v>
      </c>
      <c r="BV79" s="10">
        <f t="shared" si="18"/>
        <v>293638.713</v>
      </c>
      <c r="BW79" s="10">
        <f t="shared" si="19"/>
        <v>246241.9819999999</v>
      </c>
      <c r="BX79" s="10">
        <f t="shared" si="20"/>
        <v>646188.183</v>
      </c>
      <c r="BY79" s="10">
        <f t="shared" si="21"/>
        <v>28421.661</v>
      </c>
      <c r="BZ79" s="110"/>
      <c r="CA79" s="10">
        <f t="shared" si="22"/>
        <v>674609.8439999999</v>
      </c>
      <c r="CB79" s="110"/>
      <c r="CC79" s="110"/>
      <c r="CD79" s="110"/>
      <c r="CE79" s="110"/>
      <c r="CF79" s="110"/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10"/>
      <c r="CX79" s="110"/>
      <c r="CY79" s="110"/>
      <c r="CZ79" s="110"/>
      <c r="DA79" s="110"/>
      <c r="DB79" s="110"/>
      <c r="DC79" s="110"/>
      <c r="DD79" s="110"/>
      <c r="DE79" s="110"/>
    </row>
    <row r="80" spans="1:109" ht="12.75">
      <c r="A80" s="74" t="s">
        <v>386</v>
      </c>
      <c r="C80" s="12">
        <v>0</v>
      </c>
      <c r="D80" s="12">
        <v>0</v>
      </c>
      <c r="E80" s="12">
        <v>199.373</v>
      </c>
      <c r="F80" s="12">
        <v>0</v>
      </c>
      <c r="G80" s="12">
        <v>-2375.547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10486.768</v>
      </c>
      <c r="N80" s="12">
        <v>2683.892</v>
      </c>
      <c r="O80" s="12">
        <v>4378.245</v>
      </c>
      <c r="P80" s="12">
        <v>5831.282</v>
      </c>
      <c r="Q80" s="12">
        <v>4226.494</v>
      </c>
      <c r="R80" s="12">
        <v>0</v>
      </c>
      <c r="S80" s="12">
        <v>0</v>
      </c>
      <c r="T80" s="12">
        <v>4809.066</v>
      </c>
      <c r="U80" s="12">
        <v>0</v>
      </c>
      <c r="V80" s="12">
        <v>0</v>
      </c>
      <c r="W80" s="12">
        <v>2116.82</v>
      </c>
      <c r="X80" s="12">
        <v>0</v>
      </c>
      <c r="Y80" s="12">
        <v>0</v>
      </c>
      <c r="Z80" s="12">
        <v>0</v>
      </c>
      <c r="AA80" s="12">
        <v>325.023</v>
      </c>
      <c r="AB80" s="12">
        <v>0</v>
      </c>
      <c r="AC80" s="12">
        <v>196.169</v>
      </c>
      <c r="AD80" s="12">
        <v>4920.063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-215.664</v>
      </c>
      <c r="AL80" s="12">
        <v>0</v>
      </c>
      <c r="AM80" s="12">
        <v>0</v>
      </c>
      <c r="AN80" s="12">
        <v>0</v>
      </c>
      <c r="AO80" s="12">
        <v>0</v>
      </c>
      <c r="AP80" s="12">
        <v>2520.578</v>
      </c>
      <c r="AQ80" s="12">
        <v>-792.142</v>
      </c>
      <c r="AR80" s="12">
        <v>0</v>
      </c>
      <c r="AS80" s="12">
        <v>305.078</v>
      </c>
      <c r="AT80" s="12">
        <v>0</v>
      </c>
      <c r="AU80" s="12">
        <v>0</v>
      </c>
      <c r="AV80" s="12">
        <v>0</v>
      </c>
      <c r="AW80" s="12">
        <v>130.915</v>
      </c>
      <c r="AX80" s="12">
        <v>1392.836</v>
      </c>
      <c r="AY80" s="12">
        <v>959.237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-180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/>
      <c r="BM80" s="12">
        <v>0</v>
      </c>
      <c r="BN80" s="12">
        <v>0</v>
      </c>
      <c r="BO80" s="12"/>
      <c r="BP80" s="12"/>
      <c r="BQ80" s="110"/>
      <c r="BR80" s="110"/>
      <c r="BS80" s="110"/>
      <c r="BT80" s="110">
        <f t="shared" si="36"/>
        <v>41918.48600000001</v>
      </c>
      <c r="BU80" s="110">
        <f t="shared" si="17"/>
        <v>2867.035</v>
      </c>
      <c r="BV80" s="10">
        <f t="shared" si="18"/>
        <v>21850.049</v>
      </c>
      <c r="BW80" s="10">
        <f t="shared" si="19"/>
        <v>16896.323999999997</v>
      </c>
      <c r="BX80" s="10">
        <f t="shared" si="20"/>
        <v>41613.407999999996</v>
      </c>
      <c r="BY80" s="10">
        <f t="shared" si="21"/>
        <v>305.078</v>
      </c>
      <c r="BZ80" s="110"/>
      <c r="CA80" s="10">
        <f t="shared" si="22"/>
        <v>41918.486</v>
      </c>
      <c r="CB80" s="110"/>
      <c r="CC80" s="110"/>
      <c r="CD80" s="110"/>
      <c r="CE80" s="110"/>
      <c r="CF80" s="110"/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10"/>
      <c r="CX80" s="110"/>
      <c r="CY80" s="110"/>
      <c r="CZ80" s="110"/>
      <c r="DA80" s="110"/>
      <c r="DB80" s="110"/>
      <c r="DC80" s="110"/>
      <c r="DD80" s="110"/>
      <c r="DE80" s="110"/>
    </row>
    <row r="81" spans="1:109" ht="12.75">
      <c r="A81" s="74" t="s">
        <v>385</v>
      </c>
      <c r="C81" s="12">
        <v>53305.126</v>
      </c>
      <c r="D81" s="12">
        <v>38350.456</v>
      </c>
      <c r="E81" s="12">
        <v>14058.747</v>
      </c>
      <c r="F81" s="12">
        <v>16617.24</v>
      </c>
      <c r="G81" s="12">
        <v>25618.476</v>
      </c>
      <c r="H81" s="12">
        <v>10731.996</v>
      </c>
      <c r="I81" s="12">
        <v>0</v>
      </c>
      <c r="J81" s="12">
        <v>0</v>
      </c>
      <c r="K81" s="12">
        <v>0</v>
      </c>
      <c r="L81" s="12">
        <v>10324.461</v>
      </c>
      <c r="M81" s="12">
        <v>4612.671</v>
      </c>
      <c r="N81" s="12">
        <v>1133.661</v>
      </c>
      <c r="O81" s="12">
        <v>18117.23</v>
      </c>
      <c r="P81" s="12">
        <v>545.027</v>
      </c>
      <c r="Q81" s="12">
        <v>10233.5</v>
      </c>
      <c r="R81" s="12">
        <v>1970.185</v>
      </c>
      <c r="S81" s="12">
        <v>9225.943</v>
      </c>
      <c r="T81" s="12">
        <v>2739.543</v>
      </c>
      <c r="U81" s="12">
        <v>4170.932</v>
      </c>
      <c r="V81" s="12">
        <v>5946.781</v>
      </c>
      <c r="W81" s="12">
        <v>0</v>
      </c>
      <c r="X81" s="12">
        <v>1746.359</v>
      </c>
      <c r="Y81" s="12">
        <v>0</v>
      </c>
      <c r="Z81" s="12">
        <v>0</v>
      </c>
      <c r="AA81" s="12">
        <v>2781.378</v>
      </c>
      <c r="AB81" s="12">
        <v>310.531</v>
      </c>
      <c r="AC81" s="12">
        <v>0</v>
      </c>
      <c r="AD81" s="12">
        <v>2632.65</v>
      </c>
      <c r="AE81" s="12">
        <v>0</v>
      </c>
      <c r="AF81" s="12">
        <v>0</v>
      </c>
      <c r="AG81" s="12">
        <v>0</v>
      </c>
      <c r="AH81" s="12">
        <v>0</v>
      </c>
      <c r="AI81" s="12">
        <v>1240.704</v>
      </c>
      <c r="AJ81" s="12">
        <v>0</v>
      </c>
      <c r="AK81" s="12">
        <v>0</v>
      </c>
      <c r="AL81" s="12">
        <v>1149.655</v>
      </c>
      <c r="AM81" s="12">
        <v>782.402</v>
      </c>
      <c r="AN81" s="12">
        <v>0</v>
      </c>
      <c r="AO81" s="12">
        <v>1380.981</v>
      </c>
      <c r="AP81" s="12">
        <v>3686.309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975.526</v>
      </c>
      <c r="AW81" s="12">
        <v>156.225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12</v>
      </c>
      <c r="BK81" s="12">
        <v>0</v>
      </c>
      <c r="BL81"/>
      <c r="BM81" s="12">
        <v>0</v>
      </c>
      <c r="BN81" s="12">
        <v>0</v>
      </c>
      <c r="BO81" s="12"/>
      <c r="BP81" s="12"/>
      <c r="BQ81" s="110"/>
      <c r="BR81" s="110"/>
      <c r="BS81" s="110"/>
      <c r="BT81" s="110">
        <f t="shared" si="36"/>
        <v>244556.69500000004</v>
      </c>
      <c r="BU81" s="110">
        <f t="shared" si="17"/>
        <v>19958.171</v>
      </c>
      <c r="BV81" s="10">
        <f t="shared" si="18"/>
        <v>128387.47899999999</v>
      </c>
      <c r="BW81" s="10">
        <f t="shared" si="19"/>
        <v>92028.113</v>
      </c>
      <c r="BX81" s="10">
        <f t="shared" si="20"/>
        <v>240373.76299999998</v>
      </c>
      <c r="BY81" s="10">
        <f t="shared" si="21"/>
        <v>4182.932</v>
      </c>
      <c r="BZ81" s="110"/>
      <c r="CA81" s="10">
        <f t="shared" si="22"/>
        <v>244556.69499999998</v>
      </c>
      <c r="CB81" s="110"/>
      <c r="CC81" s="110"/>
      <c r="CD81" s="110"/>
      <c r="CE81" s="110"/>
      <c r="CF81" s="110"/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10"/>
      <c r="CX81" s="110"/>
      <c r="CY81" s="110"/>
      <c r="CZ81" s="110"/>
      <c r="DA81" s="110"/>
      <c r="DB81" s="110"/>
      <c r="DC81" s="110"/>
      <c r="DD81" s="110"/>
      <c r="DE81" s="110"/>
    </row>
    <row r="82" spans="1:109" ht="12.75">
      <c r="A82" s="74" t="s">
        <v>392</v>
      </c>
      <c r="C82" s="12">
        <v>53359497.076</v>
      </c>
      <c r="D82" s="12">
        <v>32885818.536</v>
      </c>
      <c r="E82" s="12">
        <v>33665680.666</v>
      </c>
      <c r="F82" s="12">
        <v>28537644.837</v>
      </c>
      <c r="G82" s="12">
        <v>27576586.469</v>
      </c>
      <c r="H82" s="12">
        <v>12830016.323</v>
      </c>
      <c r="I82" s="12">
        <v>13200552.79</v>
      </c>
      <c r="J82" s="12">
        <v>7097774.621</v>
      </c>
      <c r="K82" s="12">
        <v>11101281.41</v>
      </c>
      <c r="L82" s="12">
        <v>9949202.256</v>
      </c>
      <c r="M82" s="12">
        <v>10543644.677</v>
      </c>
      <c r="N82" s="12">
        <v>9062759.103</v>
      </c>
      <c r="O82" s="12">
        <v>8649231.378</v>
      </c>
      <c r="P82" s="12">
        <v>7651760.456</v>
      </c>
      <c r="Q82" s="12">
        <v>7227714.101</v>
      </c>
      <c r="R82" s="12">
        <v>6937468.118</v>
      </c>
      <c r="S82" s="12">
        <v>6093838.095</v>
      </c>
      <c r="T82" s="12">
        <v>4922046.996</v>
      </c>
      <c r="U82" s="12">
        <v>4250973.576</v>
      </c>
      <c r="V82" s="12">
        <v>4701050</v>
      </c>
      <c r="W82" s="12">
        <v>4773176.729</v>
      </c>
      <c r="X82" s="12">
        <v>4281023.992</v>
      </c>
      <c r="Y82" s="12">
        <v>3260226.247</v>
      </c>
      <c r="Z82" s="12">
        <v>3800858.142</v>
      </c>
      <c r="AA82" s="12">
        <v>3441793.974</v>
      </c>
      <c r="AB82" s="12">
        <v>615911.397</v>
      </c>
      <c r="AC82" s="12">
        <v>2451659.766</v>
      </c>
      <c r="AD82" s="12">
        <v>2367664.799</v>
      </c>
      <c r="AE82" s="12">
        <v>2312577.994</v>
      </c>
      <c r="AF82" s="12">
        <v>2150927.761</v>
      </c>
      <c r="AG82" s="12">
        <v>1539296.903</v>
      </c>
      <c r="AH82" s="12">
        <v>1926004.472</v>
      </c>
      <c r="AI82" s="12">
        <v>2018092.528</v>
      </c>
      <c r="AJ82" s="12">
        <v>932484</v>
      </c>
      <c r="AK82" s="12">
        <v>1538045.479</v>
      </c>
      <c r="AL82" s="12">
        <v>1522875.973</v>
      </c>
      <c r="AM82" s="12">
        <v>1267092.172</v>
      </c>
      <c r="AN82" s="12">
        <v>1145154.233</v>
      </c>
      <c r="AO82" s="12">
        <v>1116314.052</v>
      </c>
      <c r="AP82" s="12">
        <v>974429.48</v>
      </c>
      <c r="AQ82" s="12">
        <v>994313.993</v>
      </c>
      <c r="AR82" s="12">
        <v>826099.983</v>
      </c>
      <c r="AS82" s="12">
        <v>756335.21</v>
      </c>
      <c r="AT82" s="12">
        <v>777562.588</v>
      </c>
      <c r="AU82" s="12">
        <v>789116.466</v>
      </c>
      <c r="AV82" s="12">
        <v>745289.116</v>
      </c>
      <c r="AW82" s="12">
        <v>607931.465</v>
      </c>
      <c r="AX82" s="12">
        <v>608859.476</v>
      </c>
      <c r="AY82" s="12">
        <v>525982.177</v>
      </c>
      <c r="AZ82" s="12">
        <v>151708.424</v>
      </c>
      <c r="BA82" s="12">
        <f>428390.579</f>
        <v>428390.579</v>
      </c>
      <c r="BB82" s="12">
        <v>387061.195</v>
      </c>
      <c r="BC82" s="12">
        <v>391064.473</v>
      </c>
      <c r="BD82" s="12">
        <v>347864.197</v>
      </c>
      <c r="BE82" s="12">
        <v>232462.082</v>
      </c>
      <c r="BF82" s="12">
        <v>181586.855</v>
      </c>
      <c r="BG82" s="12">
        <v>165755.93</v>
      </c>
      <c r="BH82" s="12">
        <v>149601.198</v>
      </c>
      <c r="BI82" s="12">
        <v>118678.984</v>
      </c>
      <c r="BJ82" s="12">
        <v>108384.022</v>
      </c>
      <c r="BK82" s="12">
        <v>98072.448</v>
      </c>
      <c r="BL82"/>
      <c r="BM82" s="12">
        <v>35817.644</v>
      </c>
      <c r="BN82" s="12">
        <v>11210.747</v>
      </c>
      <c r="BO82" s="12"/>
      <c r="BP82" s="12"/>
      <c r="BQ82" s="110"/>
      <c r="BR82" s="110"/>
      <c r="BS82" s="110"/>
      <c r="BT82" s="110">
        <f t="shared" si="36"/>
        <v>353119300.8289999</v>
      </c>
      <c r="BU82" s="110">
        <f t="shared" si="17"/>
        <v>49322635.994</v>
      </c>
      <c r="BV82" s="10">
        <f t="shared" si="18"/>
        <v>128498780.08900002</v>
      </c>
      <c r="BW82" s="10">
        <f t="shared" si="19"/>
        <v>163003619.71899998</v>
      </c>
      <c r="BX82" s="10">
        <f t="shared" si="20"/>
        <v>340825035.802</v>
      </c>
      <c r="BY82" s="10">
        <f t="shared" si="21"/>
        <v>12294265.027</v>
      </c>
      <c r="BZ82" s="110"/>
      <c r="CA82" s="10">
        <f t="shared" si="22"/>
        <v>353119300.829</v>
      </c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</row>
    <row r="83" spans="1:109" ht="12.75">
      <c r="A83" s="74" t="s">
        <v>576</v>
      </c>
      <c r="C83" s="110">
        <v>60859823.210999995</v>
      </c>
      <c r="D83" s="110">
        <v>36889115.789</v>
      </c>
      <c r="E83" s="110">
        <v>36402343.921000004</v>
      </c>
      <c r="F83" s="110">
        <v>32018392.846</v>
      </c>
      <c r="G83" s="110">
        <v>30829389.566</v>
      </c>
      <c r="H83" s="110">
        <v>14796322.601</v>
      </c>
      <c r="I83" s="110">
        <v>14658914.537999999</v>
      </c>
      <c r="J83" s="110">
        <v>14242356.033</v>
      </c>
      <c r="K83" s="110">
        <v>12055750.968</v>
      </c>
      <c r="L83" s="110">
        <v>11328355.781</v>
      </c>
      <c r="M83" s="110">
        <v>11327795.787999999</v>
      </c>
      <c r="N83" s="110">
        <v>9900849.698</v>
      </c>
      <c r="O83" s="110">
        <v>9791024.370000001</v>
      </c>
      <c r="P83" s="110">
        <v>8906129.371000001</v>
      </c>
      <c r="Q83" s="110">
        <v>8211072.187</v>
      </c>
      <c r="R83" s="110">
        <v>7749802.787</v>
      </c>
      <c r="S83" s="110">
        <v>7450892.072</v>
      </c>
      <c r="T83" s="110">
        <v>5482530.7020000005</v>
      </c>
      <c r="U83" s="110">
        <v>5437657.947000001</v>
      </c>
      <c r="V83" s="110">
        <v>5379294.333000001</v>
      </c>
      <c r="W83" s="110">
        <v>5289685.843</v>
      </c>
      <c r="X83" s="110">
        <v>4632716.112</v>
      </c>
      <c r="Y83" s="110">
        <v>4405226.1261</v>
      </c>
      <c r="Z83" s="110">
        <v>4084238.033</v>
      </c>
      <c r="AA83" s="110">
        <v>3921718.433</v>
      </c>
      <c r="AB83" s="110">
        <v>3438070.9650000003</v>
      </c>
      <c r="AC83" s="110">
        <v>2688005.6319999998</v>
      </c>
      <c r="AD83" s="110">
        <v>2626303.382</v>
      </c>
      <c r="AE83" s="110">
        <v>2501463.648</v>
      </c>
      <c r="AF83" s="110">
        <v>2328985.67</v>
      </c>
      <c r="AG83" s="110">
        <v>2314143.183</v>
      </c>
      <c r="AH83" s="110">
        <v>2247105.389</v>
      </c>
      <c r="AI83" s="110">
        <v>2150288.074</v>
      </c>
      <c r="AJ83" s="110">
        <v>2002557</v>
      </c>
      <c r="AK83" s="110">
        <v>1693763.631</v>
      </c>
      <c r="AL83" s="110">
        <v>1683730.152</v>
      </c>
      <c r="AM83" s="110">
        <v>1417460.116</v>
      </c>
      <c r="AN83" s="110">
        <v>1340442.706</v>
      </c>
      <c r="AO83" s="110">
        <v>1309040.281</v>
      </c>
      <c r="AP83" s="110">
        <v>1083640.481</v>
      </c>
      <c r="AQ83" s="110">
        <v>1057977.597</v>
      </c>
      <c r="AR83" s="110">
        <v>948063.813</v>
      </c>
      <c r="AS83" s="110">
        <v>865113.404</v>
      </c>
      <c r="AT83" s="110">
        <v>853427.344</v>
      </c>
      <c r="AU83" s="110">
        <v>842974.513</v>
      </c>
      <c r="AV83" s="110">
        <v>819905.77</v>
      </c>
      <c r="AW83" s="110">
        <v>653442.095</v>
      </c>
      <c r="AX83" s="110">
        <v>619040.726</v>
      </c>
      <c r="AY83" s="110">
        <v>535622.873</v>
      </c>
      <c r="AZ83" s="110">
        <v>439324.18399999995</v>
      </c>
      <c r="BA83" s="110">
        <v>433259.76700000005</v>
      </c>
      <c r="BB83" s="110">
        <v>419469.168</v>
      </c>
      <c r="BC83" s="110">
        <v>391511.836</v>
      </c>
      <c r="BD83" s="110">
        <v>375827.04099999997</v>
      </c>
      <c r="BE83" s="110">
        <v>247140.906</v>
      </c>
      <c r="BF83" s="110">
        <v>201855.43800000002</v>
      </c>
      <c r="BG83" s="110">
        <v>162156.29799999998</v>
      </c>
      <c r="BH83" s="110">
        <v>153041.677</v>
      </c>
      <c r="BI83" s="110">
        <v>132375.46899999998</v>
      </c>
      <c r="BJ83" s="110">
        <v>104926.62</v>
      </c>
      <c r="BK83" s="110">
        <v>93612.75200000001</v>
      </c>
      <c r="BL83"/>
      <c r="BM83" s="110">
        <v>35233.608</v>
      </c>
      <c r="BN83" s="110">
        <v>10854.394999999999</v>
      </c>
      <c r="BO83" s="110"/>
      <c r="BP83" s="110"/>
      <c r="BQ83" s="110"/>
      <c r="BR83" s="110"/>
      <c r="BS83" s="110"/>
      <c r="BT83" s="110">
        <f t="shared" si="36"/>
        <v>407272556.66010016</v>
      </c>
      <c r="BU83" s="110">
        <f t="shared" si="17"/>
        <v>56382512.84400001</v>
      </c>
      <c r="BV83" s="10">
        <f t="shared" si="18"/>
        <v>144248224.04200003</v>
      </c>
      <c r="BW83" s="10">
        <f t="shared" si="19"/>
        <v>189678052.16</v>
      </c>
      <c r="BX83" s="10">
        <f t="shared" si="20"/>
        <v>390308789.046</v>
      </c>
      <c r="BY83" s="10">
        <f t="shared" si="21"/>
        <v>16963767.6141</v>
      </c>
      <c r="BZ83" s="110"/>
      <c r="CA83" s="10">
        <f t="shared" si="22"/>
        <v>407272556.6601</v>
      </c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</row>
    <row r="84" spans="1:109" ht="12.75">
      <c r="A84" s="211" t="s">
        <v>580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/>
      <c r="BM84" s="110"/>
      <c r="BN84" s="110"/>
      <c r="BO84" s="110"/>
      <c r="BP84" s="110"/>
      <c r="BQ84" s="110"/>
      <c r="BR84" s="110"/>
      <c r="BS84" s="110"/>
      <c r="BT84" s="110"/>
      <c r="BU84" s="110"/>
      <c r="BV84" s="10">
        <f t="shared" si="18"/>
        <v>0</v>
      </c>
      <c r="BW84" s="10">
        <f t="shared" si="19"/>
        <v>0</v>
      </c>
      <c r="BX84" s="10">
        <f t="shared" si="20"/>
        <v>0</v>
      </c>
      <c r="BY84" s="10">
        <f t="shared" si="21"/>
        <v>0</v>
      </c>
      <c r="BZ84" s="110"/>
      <c r="CA84" s="10">
        <f t="shared" si="22"/>
        <v>0</v>
      </c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</row>
    <row r="85" spans="1:109" ht="12.75">
      <c r="A85" s="74" t="s">
        <v>575</v>
      </c>
      <c r="C85" s="110">
        <v>75355.436</v>
      </c>
      <c r="D85" s="110">
        <v>67799.334</v>
      </c>
      <c r="E85" s="110">
        <v>69098.926</v>
      </c>
      <c r="F85" s="110">
        <v>36289.986</v>
      </c>
      <c r="G85" s="110">
        <v>47617.441999999995</v>
      </c>
      <c r="H85" s="110">
        <v>24364.972</v>
      </c>
      <c r="I85" s="110">
        <v>19535.129</v>
      </c>
      <c r="J85" s="110">
        <v>13290.849</v>
      </c>
      <c r="K85" s="110">
        <v>24450.723</v>
      </c>
      <c r="L85" s="110">
        <v>30959.411</v>
      </c>
      <c r="M85" s="110">
        <v>31593.76</v>
      </c>
      <c r="N85" s="110">
        <v>19107.86</v>
      </c>
      <c r="O85" s="110">
        <v>25208.065</v>
      </c>
      <c r="P85" s="110">
        <v>10995.883</v>
      </c>
      <c r="Q85" s="110">
        <v>18206.66</v>
      </c>
      <c r="R85" s="110">
        <v>18651.547</v>
      </c>
      <c r="S85" s="110">
        <v>17683.844</v>
      </c>
      <c r="T85" s="110">
        <v>9313.776</v>
      </c>
      <c r="U85" s="110">
        <v>6025.105</v>
      </c>
      <c r="V85" s="110">
        <v>600.912</v>
      </c>
      <c r="W85" s="110">
        <v>4042.843</v>
      </c>
      <c r="X85" s="110">
        <v>6948.868</v>
      </c>
      <c r="Y85" s="110">
        <v>7458.301</v>
      </c>
      <c r="Z85" s="110">
        <v>3154.587</v>
      </c>
      <c r="AA85" s="110">
        <v>9234.038</v>
      </c>
      <c r="AB85" s="110">
        <v>5453.829</v>
      </c>
      <c r="AC85" s="110">
        <v>6945.999</v>
      </c>
      <c r="AD85" s="110">
        <v>5958.718</v>
      </c>
      <c r="AE85" s="110">
        <v>1395.467</v>
      </c>
      <c r="AF85" s="110"/>
      <c r="AG85" s="110">
        <v>3662.595</v>
      </c>
      <c r="AH85" s="110"/>
      <c r="AI85" s="110">
        <v>3759.128</v>
      </c>
      <c r="AJ85" s="110">
        <v>7647</v>
      </c>
      <c r="AK85" s="110">
        <v>1178.995</v>
      </c>
      <c r="AL85" s="110">
        <v>4301.44</v>
      </c>
      <c r="AM85" s="110">
        <v>2987.559</v>
      </c>
      <c r="AN85" s="110">
        <v>1644.993</v>
      </c>
      <c r="AO85" s="110">
        <v>1406.966</v>
      </c>
      <c r="AP85" s="110">
        <v>2712.428</v>
      </c>
      <c r="AQ85" s="110"/>
      <c r="AR85" s="110">
        <v>3232.513</v>
      </c>
      <c r="AS85" s="110">
        <v>796.184</v>
      </c>
      <c r="AT85" s="110">
        <v>1930.401</v>
      </c>
      <c r="AU85" s="110">
        <v>819.462</v>
      </c>
      <c r="AV85" s="110">
        <v>3400.709</v>
      </c>
      <c r="AW85" s="110">
        <v>806.815</v>
      </c>
      <c r="AX85" s="110"/>
      <c r="AY85" s="110"/>
      <c r="AZ85" s="110">
        <v>978.085</v>
      </c>
      <c r="BA85" s="110"/>
      <c r="BB85" s="110"/>
      <c r="BC85" s="110"/>
      <c r="BD85" s="110">
        <v>1219.25</v>
      </c>
      <c r="BE85" s="110">
        <v>966.969</v>
      </c>
      <c r="BF85" s="110"/>
      <c r="BG85" s="110"/>
      <c r="BH85" s="110">
        <v>281.667</v>
      </c>
      <c r="BI85" s="110">
        <v>137.79</v>
      </c>
      <c r="BJ85" s="110">
        <v>701.266</v>
      </c>
      <c r="BK85" s="110">
        <v>695.34</v>
      </c>
      <c r="BL85"/>
      <c r="BM85" s="110"/>
      <c r="BN85" s="110"/>
      <c r="BO85" s="110">
        <v>1522.631</v>
      </c>
      <c r="BP85" s="110">
        <v>305.194</v>
      </c>
      <c r="BQ85" s="110"/>
      <c r="BR85" s="110"/>
      <c r="BS85" s="110"/>
      <c r="BT85" s="110">
        <f>SUM(C85:BP85)</f>
        <v>663837.6499999999</v>
      </c>
      <c r="BU85" s="110">
        <f t="shared" si="17"/>
        <v>102120.83</v>
      </c>
      <c r="BV85" s="10">
        <f t="shared" si="18"/>
        <v>293638.713</v>
      </c>
      <c r="BW85" s="10">
        <f t="shared" si="19"/>
        <v>239852.31899999993</v>
      </c>
      <c r="BX85" s="10">
        <f t="shared" si="20"/>
        <v>635611.862</v>
      </c>
      <c r="BY85" s="10">
        <f t="shared" si="21"/>
        <v>28225.788</v>
      </c>
      <c r="BZ85" s="110"/>
      <c r="CA85" s="10">
        <f t="shared" si="22"/>
        <v>663837.6499999999</v>
      </c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</row>
    <row r="86" spans="1:109" ht="12.75">
      <c r="A86" s="74" t="s">
        <v>386</v>
      </c>
      <c r="C86" s="12">
        <v>0</v>
      </c>
      <c r="D86" s="12">
        <v>0</v>
      </c>
      <c r="E86" s="12">
        <v>199.373</v>
      </c>
      <c r="F86" s="12">
        <v>0</v>
      </c>
      <c r="G86" s="12">
        <v>-2375.547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10486.768</v>
      </c>
      <c r="N86" s="12">
        <v>2683.892</v>
      </c>
      <c r="O86" s="12">
        <v>4378.245</v>
      </c>
      <c r="P86" s="12">
        <v>5831.282</v>
      </c>
      <c r="Q86" s="12">
        <v>4226.494</v>
      </c>
      <c r="R86" s="12">
        <v>0</v>
      </c>
      <c r="S86" s="12">
        <v>0</v>
      </c>
      <c r="T86" s="12">
        <v>4809.066</v>
      </c>
      <c r="U86" s="12">
        <v>0</v>
      </c>
      <c r="V86" s="12">
        <v>0</v>
      </c>
      <c r="W86" s="12">
        <v>2116.82</v>
      </c>
      <c r="X86" s="12">
        <v>0</v>
      </c>
      <c r="Y86" s="12">
        <v>0</v>
      </c>
      <c r="Z86" s="12">
        <v>0</v>
      </c>
      <c r="AA86" s="12">
        <v>325.023</v>
      </c>
      <c r="AB86" s="12">
        <v>0</v>
      </c>
      <c r="AC86" s="12">
        <v>196.169</v>
      </c>
      <c r="AD86" s="12">
        <v>4920.063</v>
      </c>
      <c r="AE86" s="12">
        <v>0</v>
      </c>
      <c r="AF86" s="12"/>
      <c r="AG86" s="12">
        <v>0</v>
      </c>
      <c r="AH86" s="12"/>
      <c r="AI86" s="12">
        <v>0</v>
      </c>
      <c r="AJ86" s="12">
        <v>0</v>
      </c>
      <c r="AK86" s="12">
        <v>-215.664</v>
      </c>
      <c r="AL86" s="12">
        <v>0</v>
      </c>
      <c r="AM86" s="12">
        <v>0</v>
      </c>
      <c r="AN86" s="12">
        <v>0</v>
      </c>
      <c r="AO86" s="12">
        <v>0</v>
      </c>
      <c r="AP86" s="12">
        <v>2520.578</v>
      </c>
      <c r="AQ86" s="12"/>
      <c r="AR86" s="12">
        <v>0</v>
      </c>
      <c r="AS86" s="12">
        <v>305.078</v>
      </c>
      <c r="AT86" s="12">
        <v>0</v>
      </c>
      <c r="AU86" s="12">
        <v>0</v>
      </c>
      <c r="AV86" s="12">
        <v>0</v>
      </c>
      <c r="AW86" s="12">
        <v>130.915</v>
      </c>
      <c r="AX86" s="12"/>
      <c r="AY86" s="12"/>
      <c r="AZ86" s="12">
        <v>0</v>
      </c>
      <c r="BA86" s="12"/>
      <c r="BB86" s="12"/>
      <c r="BC86" s="12"/>
      <c r="BD86" s="12">
        <v>0</v>
      </c>
      <c r="BE86" s="12">
        <v>0</v>
      </c>
      <c r="BF86" s="12"/>
      <c r="BG86" s="12"/>
      <c r="BH86" s="12">
        <v>0</v>
      </c>
      <c r="BI86" s="12">
        <v>0</v>
      </c>
      <c r="BJ86" s="12">
        <v>0</v>
      </c>
      <c r="BK86" s="12">
        <v>0</v>
      </c>
      <c r="BL86"/>
      <c r="BM86" s="12"/>
      <c r="BN86" s="12"/>
      <c r="BO86" s="12">
        <v>0</v>
      </c>
      <c r="BP86" s="12">
        <v>0</v>
      </c>
      <c r="BQ86" s="110"/>
      <c r="BR86" s="110"/>
      <c r="BS86" s="110"/>
      <c r="BT86" s="110">
        <f>SUM(C86:BP86)</f>
        <v>40538.55500000001</v>
      </c>
      <c r="BU86" s="110">
        <f t="shared" si="17"/>
        <v>3047.035</v>
      </c>
      <c r="BV86" s="10">
        <f t="shared" si="18"/>
        <v>21850.049</v>
      </c>
      <c r="BW86" s="10">
        <f t="shared" si="19"/>
        <v>15336.392999999998</v>
      </c>
      <c r="BX86" s="10">
        <f t="shared" si="20"/>
        <v>40233.477</v>
      </c>
      <c r="BY86" s="10">
        <f t="shared" si="21"/>
        <v>305.078</v>
      </c>
      <c r="BZ86" s="110"/>
      <c r="CA86" s="10">
        <f t="shared" si="22"/>
        <v>40538.555</v>
      </c>
      <c r="CB86" s="110"/>
      <c r="CC86" s="110"/>
      <c r="CD86" s="110"/>
      <c r="CE86" s="110"/>
      <c r="CF86" s="110"/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10"/>
      <c r="CX86" s="110"/>
      <c r="CY86" s="110"/>
      <c r="CZ86" s="110"/>
      <c r="DA86" s="110"/>
      <c r="DB86" s="110"/>
      <c r="DC86" s="110"/>
      <c r="DD86" s="110"/>
      <c r="DE86" s="110"/>
    </row>
    <row r="87" spans="1:109" ht="12.75">
      <c r="A87" s="74" t="s">
        <v>385</v>
      </c>
      <c r="C87" s="12">
        <v>53305.126</v>
      </c>
      <c r="D87" s="12">
        <v>38350.456</v>
      </c>
      <c r="E87" s="12">
        <v>14058.747</v>
      </c>
      <c r="F87" s="12">
        <v>16617.24</v>
      </c>
      <c r="G87" s="12">
        <v>25618.476</v>
      </c>
      <c r="H87" s="12">
        <v>10731.996</v>
      </c>
      <c r="I87" s="12">
        <v>0</v>
      </c>
      <c r="J87" s="12">
        <v>0</v>
      </c>
      <c r="K87" s="12">
        <v>0</v>
      </c>
      <c r="L87" s="12">
        <v>10324.461</v>
      </c>
      <c r="M87" s="12">
        <v>4612.671</v>
      </c>
      <c r="N87" s="12">
        <v>1133.661</v>
      </c>
      <c r="O87" s="12">
        <v>18117.23</v>
      </c>
      <c r="P87" s="12">
        <v>545.027</v>
      </c>
      <c r="Q87" s="12">
        <v>10233.5</v>
      </c>
      <c r="R87" s="12">
        <v>1970.185</v>
      </c>
      <c r="S87" s="12">
        <v>9225.943</v>
      </c>
      <c r="T87" s="12">
        <v>2739.543</v>
      </c>
      <c r="U87" s="12">
        <v>4170.932</v>
      </c>
      <c r="V87" s="12">
        <v>5946.781</v>
      </c>
      <c r="W87" s="12">
        <v>0</v>
      </c>
      <c r="X87" s="12">
        <v>1746.359</v>
      </c>
      <c r="Y87" s="12">
        <v>0</v>
      </c>
      <c r="Z87" s="12">
        <v>0</v>
      </c>
      <c r="AA87" s="12">
        <v>2781.378</v>
      </c>
      <c r="AB87" s="12">
        <v>310.531</v>
      </c>
      <c r="AC87" s="12">
        <v>0</v>
      </c>
      <c r="AD87" s="12">
        <v>2632.65</v>
      </c>
      <c r="AE87" s="12">
        <v>0</v>
      </c>
      <c r="AF87" s="12"/>
      <c r="AG87" s="12">
        <v>0</v>
      </c>
      <c r="AH87" s="12"/>
      <c r="AI87" s="12">
        <v>1240.704</v>
      </c>
      <c r="AJ87" s="12">
        <v>0</v>
      </c>
      <c r="AK87" s="12">
        <v>0</v>
      </c>
      <c r="AL87" s="12">
        <v>1149.655</v>
      </c>
      <c r="AM87" s="12">
        <v>782.402</v>
      </c>
      <c r="AN87" s="12">
        <v>0</v>
      </c>
      <c r="AO87" s="12">
        <v>1380.981</v>
      </c>
      <c r="AP87" s="12">
        <v>3686.309</v>
      </c>
      <c r="AQ87" s="12"/>
      <c r="AR87" s="12">
        <v>0</v>
      </c>
      <c r="AS87" s="12">
        <v>0</v>
      </c>
      <c r="AT87" s="12">
        <v>0</v>
      </c>
      <c r="AU87" s="12">
        <v>0</v>
      </c>
      <c r="AV87" s="12">
        <v>975.526</v>
      </c>
      <c r="AW87" s="12">
        <v>156.225</v>
      </c>
      <c r="AX87" s="12"/>
      <c r="AY87" s="12"/>
      <c r="AZ87" s="12">
        <v>0</v>
      </c>
      <c r="BA87" s="12"/>
      <c r="BB87" s="12"/>
      <c r="BC87" s="12"/>
      <c r="BD87" s="12">
        <v>0</v>
      </c>
      <c r="BE87" s="12">
        <v>0</v>
      </c>
      <c r="BF87" s="12"/>
      <c r="BG87" s="12"/>
      <c r="BH87" s="12">
        <v>0</v>
      </c>
      <c r="BI87" s="12">
        <v>0</v>
      </c>
      <c r="BJ87" s="12">
        <v>12</v>
      </c>
      <c r="BK87" s="12">
        <v>0</v>
      </c>
      <c r="BL87"/>
      <c r="BM87" s="12"/>
      <c r="BN87" s="12"/>
      <c r="BO87" s="12">
        <v>0</v>
      </c>
      <c r="BP87" s="12">
        <v>0</v>
      </c>
      <c r="BQ87" s="110"/>
      <c r="BR87" s="110"/>
      <c r="BS87" s="110"/>
      <c r="BT87" s="110">
        <f>SUM(C87:BP87)</f>
        <v>244556.69500000004</v>
      </c>
      <c r="BU87" s="110">
        <f t="shared" si="17"/>
        <v>19958.171</v>
      </c>
      <c r="BV87" s="10">
        <f t="shared" si="18"/>
        <v>128387.47899999999</v>
      </c>
      <c r="BW87" s="10">
        <f t="shared" si="19"/>
        <v>92028.113</v>
      </c>
      <c r="BX87" s="10">
        <f t="shared" si="20"/>
        <v>240373.76299999998</v>
      </c>
      <c r="BY87" s="10">
        <f t="shared" si="21"/>
        <v>4182.932</v>
      </c>
      <c r="BZ87" s="110"/>
      <c r="CA87" s="10">
        <f t="shared" si="22"/>
        <v>244556.69499999998</v>
      </c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/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</row>
    <row r="88" spans="1:109" ht="12.75">
      <c r="A88" s="74" t="s">
        <v>171</v>
      </c>
      <c r="C88" s="10">
        <v>22990</v>
      </c>
      <c r="D88" s="10">
        <v>16146</v>
      </c>
      <c r="E88" s="10">
        <v>12639</v>
      </c>
      <c r="F88" s="10">
        <v>4146</v>
      </c>
      <c r="G88" s="10">
        <v>7214</v>
      </c>
      <c r="H88" s="10">
        <v>6480</v>
      </c>
      <c r="I88" s="10">
        <v>6748</v>
      </c>
      <c r="J88" s="10">
        <v>1443</v>
      </c>
      <c r="K88" s="10">
        <v>3116</v>
      </c>
      <c r="L88" s="10">
        <v>3281</v>
      </c>
      <c r="M88" s="10">
        <v>3905</v>
      </c>
      <c r="N88" s="10">
        <v>5282</v>
      </c>
      <c r="O88" s="10">
        <v>2619</v>
      </c>
      <c r="P88" s="10">
        <v>1052</v>
      </c>
      <c r="Q88" s="10">
        <v>3175</v>
      </c>
      <c r="R88" s="10">
        <v>1730</v>
      </c>
      <c r="S88" s="10">
        <v>1497</v>
      </c>
      <c r="T88" s="10">
        <v>2545</v>
      </c>
      <c r="U88" s="10">
        <v>2506</v>
      </c>
      <c r="V88" s="10">
        <v>649</v>
      </c>
      <c r="W88" s="10">
        <v>299</v>
      </c>
      <c r="X88" s="10">
        <v>1092</v>
      </c>
      <c r="Y88" s="10">
        <v>2353</v>
      </c>
      <c r="Z88" s="10">
        <v>866</v>
      </c>
      <c r="AA88" s="10">
        <v>2248</v>
      </c>
      <c r="AB88" s="10">
        <v>9805</v>
      </c>
      <c r="AC88" s="10">
        <v>3581</v>
      </c>
      <c r="AD88" s="10">
        <v>1021</v>
      </c>
      <c r="AE88" s="10">
        <v>652</v>
      </c>
      <c r="AF88" s="10"/>
      <c r="AG88" s="10">
        <v>1495</v>
      </c>
      <c r="AH88" s="10"/>
      <c r="AI88" s="10">
        <v>378</v>
      </c>
      <c r="AJ88" s="10">
        <v>3527</v>
      </c>
      <c r="AK88" s="10">
        <v>220</v>
      </c>
      <c r="AL88" s="10">
        <v>702</v>
      </c>
      <c r="AM88" s="10">
        <v>620</v>
      </c>
      <c r="AN88" s="10">
        <v>165</v>
      </c>
      <c r="AO88" s="10">
        <v>282</v>
      </c>
      <c r="AP88" s="10">
        <v>407</v>
      </c>
      <c r="AQ88" s="10"/>
      <c r="AR88" s="10">
        <v>478</v>
      </c>
      <c r="AS88" s="10">
        <v>167.5</v>
      </c>
      <c r="AT88" s="10">
        <v>464</v>
      </c>
      <c r="AU88" s="10">
        <v>88</v>
      </c>
      <c r="AV88" s="10">
        <v>489</v>
      </c>
      <c r="AW88" s="10">
        <v>237</v>
      </c>
      <c r="AX88" s="10"/>
      <c r="AY88" s="10"/>
      <c r="AZ88" s="10">
        <v>524</v>
      </c>
      <c r="BA88" s="10"/>
      <c r="BB88" s="10"/>
      <c r="BC88" s="10"/>
      <c r="BD88" s="10">
        <v>228</v>
      </c>
      <c r="BE88" s="10">
        <v>73</v>
      </c>
      <c r="BF88" s="10"/>
      <c r="BG88" s="10"/>
      <c r="BH88" s="10">
        <v>39</v>
      </c>
      <c r="BI88" s="10">
        <v>16</v>
      </c>
      <c r="BJ88" s="10">
        <v>46</v>
      </c>
      <c r="BK88" s="10">
        <v>146</v>
      </c>
      <c r="BL88"/>
      <c r="BM88" s="10"/>
      <c r="BN88" s="10"/>
      <c r="BO88" s="10">
        <v>65</v>
      </c>
      <c r="BP88" s="10">
        <v>11</v>
      </c>
      <c r="BQ88" s="110"/>
      <c r="BR88" s="110"/>
      <c r="BS88" s="110"/>
      <c r="BT88" s="110">
        <f>SUM(C88:BP88)</f>
        <v>141947.5</v>
      </c>
      <c r="BU88" s="110">
        <f t="shared" si="17"/>
        <v>29265</v>
      </c>
      <c r="BV88" s="10">
        <f t="shared" si="18"/>
        <v>51154</v>
      </c>
      <c r="BW88" s="10">
        <f t="shared" si="19"/>
        <v>50806</v>
      </c>
      <c r="BX88" s="10">
        <f t="shared" si="20"/>
        <v>131225</v>
      </c>
      <c r="BY88" s="10">
        <f t="shared" si="21"/>
        <v>10722.5</v>
      </c>
      <c r="BZ88" s="110"/>
      <c r="CA88" s="10">
        <f t="shared" si="22"/>
        <v>141947.5</v>
      </c>
      <c r="CB88" s="110"/>
      <c r="CC88" s="110"/>
      <c r="CD88" s="110"/>
      <c r="CE88" s="110"/>
      <c r="CF88" s="110"/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10"/>
      <c r="CX88" s="110"/>
      <c r="CY88" s="110"/>
      <c r="CZ88" s="110"/>
      <c r="DA88" s="110"/>
      <c r="DB88" s="110"/>
      <c r="DC88" s="110"/>
      <c r="DD88" s="110"/>
      <c r="DE88" s="110"/>
    </row>
    <row r="89" spans="1:109" ht="12.75">
      <c r="A89" s="211" t="s">
        <v>581</v>
      </c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/>
      <c r="BM89" s="110"/>
      <c r="BN89" s="110"/>
      <c r="BO89" s="110"/>
      <c r="BP89" s="110"/>
      <c r="BQ89" s="110"/>
      <c r="BR89" s="110"/>
      <c r="BS89" s="110"/>
      <c r="BT89" s="110"/>
      <c r="BU89" s="110"/>
      <c r="BV89" s="10">
        <f t="shared" si="18"/>
        <v>0</v>
      </c>
      <c r="BW89" s="10">
        <f t="shared" si="19"/>
        <v>0</v>
      </c>
      <c r="BX89" s="10">
        <f t="shared" si="20"/>
        <v>0</v>
      </c>
      <c r="BY89" s="10">
        <f t="shared" si="21"/>
        <v>0</v>
      </c>
      <c r="BZ89" s="110"/>
      <c r="CA89" s="10">
        <f t="shared" si="22"/>
        <v>0</v>
      </c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</row>
    <row r="90" spans="1:109" ht="12.75">
      <c r="A90" s="74" t="s">
        <v>575</v>
      </c>
      <c r="C90" s="110">
        <v>75355.436</v>
      </c>
      <c r="D90" s="110">
        <v>67799.334</v>
      </c>
      <c r="E90" s="110">
        <v>69098.926</v>
      </c>
      <c r="F90" s="110">
        <v>36289.986</v>
      </c>
      <c r="G90" s="110">
        <v>47617.441999999995</v>
      </c>
      <c r="H90" s="110">
        <v>24364.972</v>
      </c>
      <c r="I90" s="110">
        <v>19535.129</v>
      </c>
      <c r="J90" s="110"/>
      <c r="K90" s="110">
        <v>24450.723</v>
      </c>
      <c r="L90" s="110">
        <v>30959.411</v>
      </c>
      <c r="M90" s="110">
        <v>31593.76</v>
      </c>
      <c r="N90" s="110">
        <v>19107.86</v>
      </c>
      <c r="O90" s="110">
        <v>25208.065</v>
      </c>
      <c r="P90" s="110">
        <v>10995.883</v>
      </c>
      <c r="Q90" s="110">
        <v>18206.66</v>
      </c>
      <c r="R90" s="110">
        <v>18651.547</v>
      </c>
      <c r="S90" s="110">
        <v>17683.844</v>
      </c>
      <c r="T90" s="110">
        <v>9313.776</v>
      </c>
      <c r="U90" s="110">
        <v>6025.105</v>
      </c>
      <c r="V90" s="110">
        <v>600.912</v>
      </c>
      <c r="W90" s="110">
        <v>4042.843</v>
      </c>
      <c r="X90" s="110">
        <v>6948.868</v>
      </c>
      <c r="Y90" s="110">
        <v>7458.301</v>
      </c>
      <c r="Z90" s="110">
        <v>3154.587</v>
      </c>
      <c r="AA90" s="110">
        <v>9234.038</v>
      </c>
      <c r="AB90" s="110">
        <v>5453.829</v>
      </c>
      <c r="AC90" s="110">
        <v>6945.999</v>
      </c>
      <c r="AD90" s="110">
        <v>5958.718</v>
      </c>
      <c r="AE90" s="110">
        <v>1395.467</v>
      </c>
      <c r="AF90" s="110"/>
      <c r="AG90" s="110">
        <v>3662.595</v>
      </c>
      <c r="AH90" s="110">
        <v>1290.895</v>
      </c>
      <c r="AI90" s="110">
        <v>3759.128</v>
      </c>
      <c r="AJ90" s="110">
        <v>7647</v>
      </c>
      <c r="AK90" s="110">
        <v>1178.995</v>
      </c>
      <c r="AL90" s="110">
        <v>4301.44</v>
      </c>
      <c r="AM90" s="110">
        <v>2987.559</v>
      </c>
      <c r="AN90" s="110">
        <v>1644.993</v>
      </c>
      <c r="AO90" s="110">
        <v>1406.966</v>
      </c>
      <c r="AP90" s="110">
        <v>2712.428</v>
      </c>
      <c r="AQ90" s="110"/>
      <c r="AR90" s="110">
        <v>3232.513</v>
      </c>
      <c r="AS90" s="110">
        <v>796.184</v>
      </c>
      <c r="AT90" s="110">
        <v>1930.401</v>
      </c>
      <c r="AU90" s="110"/>
      <c r="AV90" s="110">
        <v>3400.709</v>
      </c>
      <c r="AW90" s="110">
        <v>806.815</v>
      </c>
      <c r="AX90" s="110"/>
      <c r="AY90" s="110"/>
      <c r="AZ90" s="110">
        <v>978.085</v>
      </c>
      <c r="BA90" s="110"/>
      <c r="BB90" s="110"/>
      <c r="BC90" s="110"/>
      <c r="BD90" s="110">
        <v>1219.25</v>
      </c>
      <c r="BE90" s="110">
        <v>966.969</v>
      </c>
      <c r="BF90" s="110"/>
      <c r="BG90" s="110"/>
      <c r="BH90" s="110">
        <v>281.667</v>
      </c>
      <c r="BI90" s="110">
        <v>137.79</v>
      </c>
      <c r="BJ90" s="110"/>
      <c r="BK90" s="110">
        <v>695.34</v>
      </c>
      <c r="BL90"/>
      <c r="BM90" s="110"/>
      <c r="BN90" s="110"/>
      <c r="BO90" s="110">
        <v>1522.631</v>
      </c>
      <c r="BP90" s="110">
        <v>305.194</v>
      </c>
      <c r="BQ90" s="110"/>
      <c r="BR90" s="110"/>
      <c r="BS90" s="110"/>
      <c r="BT90" s="110">
        <f>SUM(C90:BP90)</f>
        <v>650316.968</v>
      </c>
      <c r="BU90" s="110">
        <f t="shared" si="17"/>
        <v>103411.725</v>
      </c>
      <c r="BV90" s="10">
        <f t="shared" si="18"/>
        <v>293638.713</v>
      </c>
      <c r="BW90" s="10">
        <f t="shared" si="19"/>
        <v>226561.46999999994</v>
      </c>
      <c r="BX90" s="10">
        <f t="shared" si="20"/>
        <v>623611.9079999999</v>
      </c>
      <c r="BY90" s="10">
        <f t="shared" si="21"/>
        <v>26705.06</v>
      </c>
      <c r="BZ90" s="110"/>
      <c r="CA90" s="10">
        <f t="shared" si="22"/>
        <v>650316.968</v>
      </c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10"/>
      <c r="CX90" s="110"/>
      <c r="CY90" s="110"/>
      <c r="CZ90" s="110"/>
      <c r="DA90" s="110"/>
      <c r="DB90" s="110"/>
      <c r="DC90" s="110"/>
      <c r="DD90" s="110"/>
      <c r="DE90" s="110"/>
    </row>
    <row r="91" spans="1:109" ht="12.75">
      <c r="A91" s="74" t="s">
        <v>380</v>
      </c>
      <c r="C91" s="110">
        <v>3788481.344</v>
      </c>
      <c r="D91" s="110">
        <v>1935451.051</v>
      </c>
      <c r="E91" s="110">
        <v>4847762.765000001</v>
      </c>
      <c r="F91" s="110">
        <v>1637954.584</v>
      </c>
      <c r="G91" s="110">
        <v>1642817.1550000003</v>
      </c>
      <c r="H91" s="110">
        <v>827323.517</v>
      </c>
      <c r="I91" s="110">
        <v>519027.75299999997</v>
      </c>
      <c r="J91" s="110"/>
      <c r="K91" s="110">
        <v>545069.417</v>
      </c>
      <c r="L91" s="110">
        <v>828974.6849999999</v>
      </c>
      <c r="M91" s="110">
        <v>680081.085</v>
      </c>
      <c r="N91" s="110">
        <v>313702.69800000003</v>
      </c>
      <c r="O91" s="110">
        <v>532829.7289999999</v>
      </c>
      <c r="P91" s="110">
        <v>584054.5190000001</v>
      </c>
      <c r="Q91" s="110">
        <v>476792.89200000005</v>
      </c>
      <c r="R91" s="110">
        <v>380429.793</v>
      </c>
      <c r="S91" s="110">
        <v>617830.3559999999</v>
      </c>
      <c r="T91" s="110">
        <v>341690.87200000003</v>
      </c>
      <c r="U91" s="110">
        <v>707592.3970000001</v>
      </c>
      <c r="V91" s="110">
        <v>277338.97400000005</v>
      </c>
      <c r="W91" s="110">
        <v>253875.59600000002</v>
      </c>
      <c r="X91" s="110">
        <v>314212.419</v>
      </c>
      <c r="Y91" s="110">
        <v>820067.642</v>
      </c>
      <c r="Z91" s="110">
        <v>171335.52399999998</v>
      </c>
      <c r="AA91" s="110">
        <v>283291.02300000004</v>
      </c>
      <c r="AB91" s="110">
        <v>2665183.353</v>
      </c>
      <c r="AC91" s="110">
        <v>739558.269</v>
      </c>
      <c r="AD91" s="110">
        <v>168963.959</v>
      </c>
      <c r="AE91" s="110">
        <v>110535.73</v>
      </c>
      <c r="AF91" s="110"/>
      <c r="AG91" s="110">
        <v>614699.4580000001</v>
      </c>
      <c r="AH91" s="110">
        <v>126999.728</v>
      </c>
      <c r="AI91" s="110">
        <v>102574.58200000001</v>
      </c>
      <c r="AJ91" s="110">
        <v>945453</v>
      </c>
      <c r="AK91" s="110">
        <v>87502.283</v>
      </c>
      <c r="AL91" s="110">
        <v>60567.469000000005</v>
      </c>
      <c r="AM91" s="110">
        <v>87079.006</v>
      </c>
      <c r="AN91" s="110">
        <v>75394.929</v>
      </c>
      <c r="AO91" s="110">
        <v>66468.17199999999</v>
      </c>
      <c r="AP91" s="110">
        <v>61360.327000000005</v>
      </c>
      <c r="AQ91" s="110"/>
      <c r="AR91" s="110">
        <v>78944.678</v>
      </c>
      <c r="AS91" s="110">
        <v>34495.3</v>
      </c>
      <c r="AT91" s="110">
        <v>95771.901</v>
      </c>
      <c r="AU91" s="110"/>
      <c r="AV91" s="110">
        <v>52040.198</v>
      </c>
      <c r="AW91" s="110">
        <v>39520.72</v>
      </c>
      <c r="AX91" s="110"/>
      <c r="AY91" s="110"/>
      <c r="AZ91" s="110">
        <v>269930.111</v>
      </c>
      <c r="BA91" s="110"/>
      <c r="BB91" s="110"/>
      <c r="BC91" s="110"/>
      <c r="BD91" s="110">
        <v>34886.195999999996</v>
      </c>
      <c r="BE91" s="110">
        <v>18941.403</v>
      </c>
      <c r="BF91" s="110"/>
      <c r="BG91" s="110"/>
      <c r="BH91" s="110">
        <v>13719.841</v>
      </c>
      <c r="BI91" s="110">
        <v>5133.079</v>
      </c>
      <c r="BJ91" s="110"/>
      <c r="BK91" s="110">
        <v>23220.957000000002</v>
      </c>
      <c r="BL91"/>
      <c r="BM91" s="110"/>
      <c r="BN91" s="110"/>
      <c r="BO91" s="110">
        <v>132929.852</v>
      </c>
      <c r="BP91" s="110">
        <v>19565.517999999996</v>
      </c>
      <c r="BQ91" s="110"/>
      <c r="BR91" s="110"/>
      <c r="BS91" s="110"/>
      <c r="BT91" s="110">
        <f>SUM(C91:BP91)</f>
        <v>30059427.809000004</v>
      </c>
      <c r="BU91" s="110">
        <f t="shared" si="17"/>
        <v>9212577.927000001</v>
      </c>
      <c r="BV91" s="10">
        <f t="shared" si="18"/>
        <v>8129368.475</v>
      </c>
      <c r="BW91" s="10">
        <f t="shared" si="19"/>
        <v>9320110.420000002</v>
      </c>
      <c r="BX91" s="10">
        <f t="shared" si="20"/>
        <v>26662056.822000004</v>
      </c>
      <c r="BY91" s="10">
        <f t="shared" si="21"/>
        <v>3397370.987</v>
      </c>
      <c r="BZ91" s="110"/>
      <c r="CA91" s="10">
        <f t="shared" si="22"/>
        <v>30059427.809000004</v>
      </c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</row>
    <row r="92" spans="1:109" ht="12.75">
      <c r="A92" s="211" t="s">
        <v>582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/>
      <c r="BM92" s="110"/>
      <c r="BN92" s="110"/>
      <c r="BO92" s="110"/>
      <c r="BP92" s="110"/>
      <c r="BQ92" s="110"/>
      <c r="BR92" s="110"/>
      <c r="BS92" s="110"/>
      <c r="BT92" s="110"/>
      <c r="BU92" s="110"/>
      <c r="BV92" s="10">
        <f t="shared" si="18"/>
        <v>0</v>
      </c>
      <c r="BW92" s="10">
        <f t="shared" si="19"/>
        <v>0</v>
      </c>
      <c r="BX92" s="10">
        <f t="shared" si="20"/>
        <v>0</v>
      </c>
      <c r="BY92" s="10">
        <f t="shared" si="21"/>
        <v>0</v>
      </c>
      <c r="BZ92" s="110"/>
      <c r="CA92" s="10">
        <f t="shared" si="22"/>
        <v>0</v>
      </c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</row>
    <row r="93" spans="1:109" ht="12.75">
      <c r="A93" s="74" t="s">
        <v>575</v>
      </c>
      <c r="C93" s="110">
        <v>75355.436</v>
      </c>
      <c r="D93" s="110">
        <v>67799.334</v>
      </c>
      <c r="E93" s="110">
        <v>69098.926</v>
      </c>
      <c r="F93" s="110">
        <v>36289.986</v>
      </c>
      <c r="G93" s="110">
        <v>47617.441999999995</v>
      </c>
      <c r="H93" s="110">
        <v>24364.972</v>
      </c>
      <c r="I93" s="110">
        <v>19535.129</v>
      </c>
      <c r="J93" s="110">
        <v>13290.849</v>
      </c>
      <c r="K93" s="110">
        <v>24450.723</v>
      </c>
      <c r="L93" s="110">
        <v>30959.411</v>
      </c>
      <c r="M93" s="110">
        <v>31593.76</v>
      </c>
      <c r="N93" s="110">
        <v>19107.86</v>
      </c>
      <c r="O93" s="110">
        <v>25208.065</v>
      </c>
      <c r="P93" s="110">
        <v>10995.883</v>
      </c>
      <c r="Q93" s="110">
        <v>18206.66</v>
      </c>
      <c r="R93" s="110">
        <v>18651.547</v>
      </c>
      <c r="S93" s="110">
        <v>17683.844</v>
      </c>
      <c r="T93" s="110">
        <v>9313.776</v>
      </c>
      <c r="U93" s="110">
        <v>6025.105</v>
      </c>
      <c r="V93" s="110">
        <v>600.912</v>
      </c>
      <c r="W93" s="110">
        <v>4042.843</v>
      </c>
      <c r="X93" s="110">
        <v>6948.868</v>
      </c>
      <c r="Y93" s="110">
        <v>7458.301</v>
      </c>
      <c r="Z93" s="110">
        <v>3154.587</v>
      </c>
      <c r="AA93" s="110">
        <v>9234.038</v>
      </c>
      <c r="AB93" s="110">
        <v>5453.829</v>
      </c>
      <c r="AC93" s="110">
        <v>6945.999</v>
      </c>
      <c r="AD93" s="110">
        <v>5958.718</v>
      </c>
      <c r="AE93" s="110">
        <v>1395.467</v>
      </c>
      <c r="AF93" s="110">
        <v>2746.53</v>
      </c>
      <c r="AG93" s="110">
        <v>3662.595</v>
      </c>
      <c r="AH93" s="110">
        <v>1290.895</v>
      </c>
      <c r="AI93" s="110">
        <v>3759.128</v>
      </c>
      <c r="AJ93" s="110">
        <v>7647</v>
      </c>
      <c r="AK93" s="110">
        <v>1178.995</v>
      </c>
      <c r="AL93" s="110">
        <v>4301.44</v>
      </c>
      <c r="AM93" s="110">
        <v>2987.559</v>
      </c>
      <c r="AN93" s="110">
        <v>1644.993</v>
      </c>
      <c r="AO93" s="110">
        <v>1406.966</v>
      </c>
      <c r="AP93" s="110">
        <v>2712.428</v>
      </c>
      <c r="AQ93" s="110">
        <v>1565.087</v>
      </c>
      <c r="AR93" s="110">
        <v>3232.513</v>
      </c>
      <c r="AS93" s="110">
        <v>796.184</v>
      </c>
      <c r="AT93" s="110">
        <v>1930.401</v>
      </c>
      <c r="AU93" s="110">
        <v>819.462</v>
      </c>
      <c r="AV93" s="110">
        <v>3400.709</v>
      </c>
      <c r="AW93" s="110">
        <v>806.815</v>
      </c>
      <c r="AX93" s="110">
        <v>1411.33</v>
      </c>
      <c r="AY93" s="110">
        <v>832.429</v>
      </c>
      <c r="AZ93" s="110">
        <v>978.085</v>
      </c>
      <c r="BA93" s="110">
        <v>1394.957</v>
      </c>
      <c r="BB93" s="110">
        <v>195.873</v>
      </c>
      <c r="BC93" s="110">
        <v>193.543</v>
      </c>
      <c r="BD93" s="110">
        <v>1219.25</v>
      </c>
      <c r="BE93" s="110">
        <v>966.969</v>
      </c>
      <c r="BF93" s="110">
        <v>1977.058</v>
      </c>
      <c r="BG93" s="110">
        <v>946.237</v>
      </c>
      <c r="BH93" s="110">
        <v>281.667</v>
      </c>
      <c r="BI93" s="110">
        <v>137.79</v>
      </c>
      <c r="BJ93" s="110">
        <v>701.266</v>
      </c>
      <c r="BK93" s="110">
        <v>695.34</v>
      </c>
      <c r="BL93"/>
      <c r="BM93" s="110">
        <v>0</v>
      </c>
      <c r="BN93" s="110">
        <v>46.08</v>
      </c>
      <c r="BO93" s="110"/>
      <c r="BP93" s="110"/>
      <c r="BQ93" s="110"/>
      <c r="BR93" s="110"/>
      <c r="BS93" s="110"/>
      <c r="BT93" s="110">
        <f>SUM(C93:BP93)</f>
        <v>674609.8439999998</v>
      </c>
      <c r="BU93" s="110">
        <f t="shared" si="17"/>
        <v>106307.48800000001</v>
      </c>
      <c r="BV93" s="10">
        <f t="shared" si="18"/>
        <v>293638.713</v>
      </c>
      <c r="BW93" s="10">
        <f t="shared" si="19"/>
        <v>246241.9819999999</v>
      </c>
      <c r="BX93" s="10">
        <f t="shared" si="20"/>
        <v>646188.183</v>
      </c>
      <c r="BY93" s="10">
        <f t="shared" si="21"/>
        <v>28421.661</v>
      </c>
      <c r="BZ93" s="110"/>
      <c r="CA93" s="10">
        <f t="shared" si="22"/>
        <v>674609.8439999999</v>
      </c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</row>
    <row r="94" spans="1:109" ht="12.75">
      <c r="A94" s="74" t="s">
        <v>392</v>
      </c>
      <c r="C94" s="12">
        <v>53359497.076</v>
      </c>
      <c r="D94" s="12">
        <v>32885818.536</v>
      </c>
      <c r="E94" s="12">
        <v>33665680.666</v>
      </c>
      <c r="F94" s="12">
        <v>28537644.837</v>
      </c>
      <c r="G94" s="12">
        <v>27576586.469</v>
      </c>
      <c r="H94" s="12">
        <v>12830016.323</v>
      </c>
      <c r="I94" s="12">
        <v>13200552.79</v>
      </c>
      <c r="J94" s="12">
        <v>7097774.621</v>
      </c>
      <c r="K94" s="12">
        <v>11101281.41</v>
      </c>
      <c r="L94" s="12">
        <v>9949202.256</v>
      </c>
      <c r="M94" s="12">
        <v>10543644.677</v>
      </c>
      <c r="N94" s="12">
        <v>9062759.103</v>
      </c>
      <c r="O94" s="12">
        <v>8649231.378</v>
      </c>
      <c r="P94" s="12">
        <v>7651760.456</v>
      </c>
      <c r="Q94" s="12">
        <v>7227714.101</v>
      </c>
      <c r="R94" s="12">
        <v>6937468.118</v>
      </c>
      <c r="S94" s="12">
        <v>6093838.095</v>
      </c>
      <c r="T94" s="12">
        <v>4922046.996</v>
      </c>
      <c r="U94" s="12">
        <v>4250973.576</v>
      </c>
      <c r="V94" s="12">
        <v>4701050</v>
      </c>
      <c r="W94" s="12">
        <v>4773176.729</v>
      </c>
      <c r="X94" s="12">
        <v>4281023.992</v>
      </c>
      <c r="Y94" s="12">
        <v>3260226.247</v>
      </c>
      <c r="Z94" s="12">
        <v>3800858.142</v>
      </c>
      <c r="AA94" s="12">
        <v>3441793.974</v>
      </c>
      <c r="AB94" s="12">
        <v>615911.397</v>
      </c>
      <c r="AC94" s="12">
        <v>2451659.766</v>
      </c>
      <c r="AD94" s="12">
        <v>2367664.799</v>
      </c>
      <c r="AE94" s="12">
        <v>2312577.994</v>
      </c>
      <c r="AF94" s="12">
        <v>2150927.761</v>
      </c>
      <c r="AG94" s="12">
        <v>1539296.903</v>
      </c>
      <c r="AH94" s="12">
        <v>1926004.472</v>
      </c>
      <c r="AI94" s="12">
        <v>2018092.528</v>
      </c>
      <c r="AJ94" s="12">
        <v>932484</v>
      </c>
      <c r="AK94" s="12">
        <v>1538045.479</v>
      </c>
      <c r="AL94" s="12">
        <v>1522875.973</v>
      </c>
      <c r="AM94" s="12">
        <v>1267092.172</v>
      </c>
      <c r="AN94" s="12">
        <v>1145154.233</v>
      </c>
      <c r="AO94" s="12">
        <v>1116314.052</v>
      </c>
      <c r="AP94" s="12">
        <v>974429.48</v>
      </c>
      <c r="AQ94" s="12">
        <v>994313.993</v>
      </c>
      <c r="AR94" s="12">
        <v>826099.983</v>
      </c>
      <c r="AS94" s="12">
        <v>756335.21</v>
      </c>
      <c r="AT94" s="12">
        <v>777562.588</v>
      </c>
      <c r="AU94" s="12">
        <v>789116.466</v>
      </c>
      <c r="AV94" s="12">
        <v>745289.116</v>
      </c>
      <c r="AW94" s="12">
        <v>607931.465</v>
      </c>
      <c r="AX94" s="12">
        <v>608859.476</v>
      </c>
      <c r="AY94" s="12">
        <v>525982.177</v>
      </c>
      <c r="AZ94" s="12">
        <v>151708.424</v>
      </c>
      <c r="BA94" s="12">
        <f>428390.579</f>
        <v>428390.579</v>
      </c>
      <c r="BB94" s="12">
        <v>387061.195</v>
      </c>
      <c r="BC94" s="12">
        <v>391064.473</v>
      </c>
      <c r="BD94" s="12">
        <v>347864.197</v>
      </c>
      <c r="BE94" s="12">
        <v>232462.082</v>
      </c>
      <c r="BF94" s="12">
        <v>181586.855</v>
      </c>
      <c r="BG94" s="12">
        <v>165755.93</v>
      </c>
      <c r="BH94" s="12">
        <v>149601.198</v>
      </c>
      <c r="BI94" s="12">
        <v>118678.984</v>
      </c>
      <c r="BJ94" s="12">
        <v>108384.022</v>
      </c>
      <c r="BK94" s="12">
        <v>98072.448</v>
      </c>
      <c r="BL94"/>
      <c r="BM94" s="12">
        <v>35817.644</v>
      </c>
      <c r="BN94" s="12">
        <v>11210.747</v>
      </c>
      <c r="BO94" s="12"/>
      <c r="BP94" s="12"/>
      <c r="BQ94" s="110"/>
      <c r="BR94" s="110"/>
      <c r="BS94" s="110"/>
      <c r="BT94" s="110">
        <f>SUM(C94:BP94)</f>
        <v>353119300.8289999</v>
      </c>
      <c r="BU94" s="110">
        <f t="shared" si="17"/>
        <v>49322635.994</v>
      </c>
      <c r="BV94" s="10">
        <f t="shared" si="18"/>
        <v>128498780.08900002</v>
      </c>
      <c r="BW94" s="10">
        <f t="shared" si="19"/>
        <v>163003619.71899998</v>
      </c>
      <c r="BX94" s="10">
        <f t="shared" si="20"/>
        <v>340825035.802</v>
      </c>
      <c r="BY94" s="10">
        <f t="shared" si="21"/>
        <v>12294265.027</v>
      </c>
      <c r="BZ94" s="110"/>
      <c r="CA94" s="10">
        <f t="shared" si="22"/>
        <v>353119300.829</v>
      </c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</row>
    <row r="95" spans="1:109" ht="12.75">
      <c r="A95" s="74" t="s">
        <v>576</v>
      </c>
      <c r="C95" s="110">
        <v>60859823.210999995</v>
      </c>
      <c r="D95" s="110">
        <v>36889115.789</v>
      </c>
      <c r="E95" s="110">
        <v>36402343.921000004</v>
      </c>
      <c r="F95" s="110">
        <v>32018392.846</v>
      </c>
      <c r="G95" s="110">
        <v>30829389.566</v>
      </c>
      <c r="H95" s="110">
        <v>14796322.601</v>
      </c>
      <c r="I95" s="110">
        <v>14658914.537999999</v>
      </c>
      <c r="J95" s="110">
        <v>14242356.033</v>
      </c>
      <c r="K95" s="110">
        <v>12055750.968</v>
      </c>
      <c r="L95" s="110">
        <v>11328355.781</v>
      </c>
      <c r="M95" s="110">
        <v>11327795.787999999</v>
      </c>
      <c r="N95" s="110">
        <v>9900849.698</v>
      </c>
      <c r="O95" s="110">
        <v>9791024.370000001</v>
      </c>
      <c r="P95" s="110">
        <v>8906129.371000001</v>
      </c>
      <c r="Q95" s="110">
        <v>8211072.187</v>
      </c>
      <c r="R95" s="110">
        <v>7749802.787</v>
      </c>
      <c r="S95" s="110">
        <v>7450892.072</v>
      </c>
      <c r="T95" s="110">
        <v>5482530.7020000005</v>
      </c>
      <c r="U95" s="110">
        <v>5437657.947000001</v>
      </c>
      <c r="V95" s="110">
        <v>5379294.333000001</v>
      </c>
      <c r="W95" s="110">
        <v>5289685.843</v>
      </c>
      <c r="X95" s="110">
        <v>4632716.112</v>
      </c>
      <c r="Y95" s="110">
        <v>4405226.1261</v>
      </c>
      <c r="Z95" s="110">
        <v>4084238.033</v>
      </c>
      <c r="AA95" s="110">
        <v>3921718.433</v>
      </c>
      <c r="AB95" s="110">
        <v>3438070.9650000003</v>
      </c>
      <c r="AC95" s="110">
        <v>2688005.6319999998</v>
      </c>
      <c r="AD95" s="110">
        <v>2626303.382</v>
      </c>
      <c r="AE95" s="110">
        <v>2501463.648</v>
      </c>
      <c r="AF95" s="110">
        <v>2328985.67</v>
      </c>
      <c r="AG95" s="110">
        <v>2314143.183</v>
      </c>
      <c r="AH95" s="110">
        <v>2247105.389</v>
      </c>
      <c r="AI95" s="110">
        <v>2150288.074</v>
      </c>
      <c r="AJ95" s="110">
        <v>2002557</v>
      </c>
      <c r="AK95" s="110">
        <v>1693763.631</v>
      </c>
      <c r="AL95" s="110">
        <v>1683730.152</v>
      </c>
      <c r="AM95" s="110">
        <v>1417460.116</v>
      </c>
      <c r="AN95" s="110">
        <v>1340442.706</v>
      </c>
      <c r="AO95" s="110">
        <v>1309040.281</v>
      </c>
      <c r="AP95" s="110">
        <v>1083640.481</v>
      </c>
      <c r="AQ95" s="110">
        <v>1057977.597</v>
      </c>
      <c r="AR95" s="110">
        <v>948063.813</v>
      </c>
      <c r="AS95" s="110">
        <v>865113.404</v>
      </c>
      <c r="AT95" s="110">
        <v>853427.344</v>
      </c>
      <c r="AU95" s="110">
        <v>842974.513</v>
      </c>
      <c r="AV95" s="110">
        <v>819905.77</v>
      </c>
      <c r="AW95" s="110">
        <v>653442.095</v>
      </c>
      <c r="AX95" s="110">
        <v>619040.726</v>
      </c>
      <c r="AY95" s="110">
        <v>535622.873</v>
      </c>
      <c r="AZ95" s="110">
        <v>439324.18399999995</v>
      </c>
      <c r="BA95" s="110">
        <v>433259.76700000005</v>
      </c>
      <c r="BB95" s="110">
        <v>419469.168</v>
      </c>
      <c r="BC95" s="110">
        <v>391511.836</v>
      </c>
      <c r="BD95" s="110">
        <v>375827.04099999997</v>
      </c>
      <c r="BE95" s="110">
        <v>247140.906</v>
      </c>
      <c r="BF95" s="110">
        <v>201855.43800000002</v>
      </c>
      <c r="BG95" s="110">
        <v>162156.29799999998</v>
      </c>
      <c r="BH95" s="110">
        <v>153041.677</v>
      </c>
      <c r="BI95" s="110">
        <v>132375.46899999998</v>
      </c>
      <c r="BJ95" s="110">
        <v>104926.62</v>
      </c>
      <c r="BK95" s="110">
        <v>93612.75200000001</v>
      </c>
      <c r="BL95"/>
      <c r="BM95" s="110">
        <v>35233.608</v>
      </c>
      <c r="BN95" s="110">
        <v>10854.394999999999</v>
      </c>
      <c r="BO95" s="110"/>
      <c r="BP95" s="110"/>
      <c r="BQ95" s="110"/>
      <c r="BR95" s="110"/>
      <c r="BS95" s="110"/>
      <c r="BT95" s="110">
        <f>SUM(C95:BP95)</f>
        <v>407272556.66010016</v>
      </c>
      <c r="BU95" s="110">
        <f t="shared" si="17"/>
        <v>56382512.84400001</v>
      </c>
      <c r="BV95" s="10">
        <f t="shared" si="18"/>
        <v>144248224.04200003</v>
      </c>
      <c r="BW95" s="10">
        <f t="shared" si="19"/>
        <v>189678052.16</v>
      </c>
      <c r="BX95" s="10">
        <f t="shared" si="20"/>
        <v>390308789.046</v>
      </c>
      <c r="BY95" s="10">
        <f t="shared" si="21"/>
        <v>16963767.6141</v>
      </c>
      <c r="BZ95" s="110"/>
      <c r="CA95" s="10">
        <f t="shared" si="22"/>
        <v>407272556.6601</v>
      </c>
      <c r="CB95" s="110"/>
      <c r="CC95" s="110"/>
      <c r="CD95" s="110"/>
      <c r="CE95" s="110"/>
      <c r="CF95" s="110"/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10"/>
      <c r="CX95" s="110"/>
      <c r="CY95" s="110"/>
      <c r="CZ95" s="110"/>
      <c r="DA95" s="110"/>
      <c r="DB95" s="110"/>
      <c r="DC95" s="110"/>
      <c r="DD95" s="110"/>
      <c r="DE95" s="110"/>
    </row>
    <row r="96" spans="1:109" ht="12.75">
      <c r="A96" s="211" t="s">
        <v>583</v>
      </c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/>
      <c r="BM96" s="110"/>
      <c r="BN96" s="110"/>
      <c r="BO96" s="110"/>
      <c r="BP96" s="110"/>
      <c r="BQ96" s="110"/>
      <c r="BR96" s="110"/>
      <c r="BS96" s="110"/>
      <c r="BT96" s="110"/>
      <c r="BU96" s="110"/>
      <c r="BV96" s="10">
        <f t="shared" si="18"/>
        <v>0</v>
      </c>
      <c r="BW96" s="10">
        <f t="shared" si="19"/>
        <v>0</v>
      </c>
      <c r="BX96" s="10">
        <f t="shared" si="20"/>
        <v>0</v>
      </c>
      <c r="BY96" s="10">
        <f t="shared" si="21"/>
        <v>0</v>
      </c>
      <c r="BZ96" s="110"/>
      <c r="CA96" s="10">
        <f t="shared" si="22"/>
        <v>0</v>
      </c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</row>
    <row r="97" spans="1:109" ht="12.75">
      <c r="A97" s="74" t="s">
        <v>575</v>
      </c>
      <c r="C97" s="110">
        <v>75355.436</v>
      </c>
      <c r="D97" s="110">
        <v>67799.334</v>
      </c>
      <c r="E97" s="110">
        <v>69098.926</v>
      </c>
      <c r="F97" s="110">
        <v>36289.986</v>
      </c>
      <c r="G97" s="110">
        <v>47617.441999999995</v>
      </c>
      <c r="H97" s="110">
        <v>24364.972</v>
      </c>
      <c r="I97" s="110">
        <v>19535.129</v>
      </c>
      <c r="J97" s="110">
        <v>13290.849</v>
      </c>
      <c r="K97" s="110">
        <v>24450.723</v>
      </c>
      <c r="L97" s="110">
        <v>30959.411</v>
      </c>
      <c r="M97" s="110">
        <v>31593.76</v>
      </c>
      <c r="N97" s="110">
        <v>19107.86</v>
      </c>
      <c r="O97" s="110">
        <v>25208.065</v>
      </c>
      <c r="P97" s="110">
        <v>10995.883</v>
      </c>
      <c r="Q97" s="110">
        <v>18206.66</v>
      </c>
      <c r="R97" s="110">
        <v>18651.547</v>
      </c>
      <c r="S97" s="110">
        <v>17683.844</v>
      </c>
      <c r="T97" s="110">
        <v>9313.776</v>
      </c>
      <c r="U97" s="110">
        <v>6025.105</v>
      </c>
      <c r="V97" s="110">
        <v>600.912</v>
      </c>
      <c r="W97" s="110">
        <v>4042.843</v>
      </c>
      <c r="X97" s="110">
        <v>6948.868</v>
      </c>
      <c r="Y97" s="110">
        <v>7458.301</v>
      </c>
      <c r="Z97" s="110">
        <v>3154.587</v>
      </c>
      <c r="AA97" s="110">
        <v>9234.038</v>
      </c>
      <c r="AB97" s="110">
        <v>5453.829</v>
      </c>
      <c r="AC97" s="110">
        <v>6945.999</v>
      </c>
      <c r="AD97" s="110">
        <v>5958.718</v>
      </c>
      <c r="AE97" s="110">
        <v>1395.467</v>
      </c>
      <c r="AF97" s="110"/>
      <c r="AG97" s="110">
        <v>3662.595</v>
      </c>
      <c r="AH97" s="110"/>
      <c r="AI97" s="110">
        <v>3759.128</v>
      </c>
      <c r="AJ97" s="110">
        <v>7647</v>
      </c>
      <c r="AK97" s="110">
        <v>1178.995</v>
      </c>
      <c r="AL97" s="110">
        <v>4301.44</v>
      </c>
      <c r="AM97" s="110">
        <v>2987.559</v>
      </c>
      <c r="AN97" s="110">
        <v>1644.993</v>
      </c>
      <c r="AO97" s="110">
        <v>1406.966</v>
      </c>
      <c r="AP97" s="110">
        <v>2712.428</v>
      </c>
      <c r="AQ97" s="110"/>
      <c r="AR97" s="110">
        <v>3232.513</v>
      </c>
      <c r="AS97" s="110">
        <v>796.184</v>
      </c>
      <c r="AT97" s="110">
        <v>1930.401</v>
      </c>
      <c r="AU97" s="110">
        <v>819.462</v>
      </c>
      <c r="AV97" s="110">
        <v>3400.709</v>
      </c>
      <c r="AW97" s="110">
        <v>806.815</v>
      </c>
      <c r="AX97" s="110"/>
      <c r="AY97" s="110"/>
      <c r="AZ97" s="110">
        <v>978.085</v>
      </c>
      <c r="BA97" s="110"/>
      <c r="BB97" s="110"/>
      <c r="BC97" s="110"/>
      <c r="BD97" s="110">
        <v>1219.25</v>
      </c>
      <c r="BE97" s="110">
        <v>966.969</v>
      </c>
      <c r="BF97" s="110"/>
      <c r="BG97" s="110"/>
      <c r="BH97" s="110">
        <v>281.667</v>
      </c>
      <c r="BI97" s="110">
        <v>137.79</v>
      </c>
      <c r="BJ97" s="110">
        <v>701.266</v>
      </c>
      <c r="BK97" s="110">
        <v>695.34</v>
      </c>
      <c r="BL97"/>
      <c r="BM97" s="110"/>
      <c r="BN97" s="110"/>
      <c r="BO97" s="110">
        <v>1522.631</v>
      </c>
      <c r="BP97" s="110">
        <v>305.194</v>
      </c>
      <c r="BQ97" s="110"/>
      <c r="BR97" s="110"/>
      <c r="BS97" s="110"/>
      <c r="BT97" s="110">
        <f>SUM(C97:BP97)</f>
        <v>663837.6499999999</v>
      </c>
      <c r="BU97" s="110">
        <f t="shared" si="17"/>
        <v>102120.83</v>
      </c>
      <c r="BV97" s="10">
        <f t="shared" si="18"/>
        <v>293638.713</v>
      </c>
      <c r="BW97" s="10">
        <f t="shared" si="19"/>
        <v>239852.31899999993</v>
      </c>
      <c r="BX97" s="10">
        <f t="shared" si="20"/>
        <v>635611.862</v>
      </c>
      <c r="BY97" s="10">
        <f t="shared" si="21"/>
        <v>28225.788</v>
      </c>
      <c r="BZ97" s="110"/>
      <c r="CA97" s="10">
        <f t="shared" si="22"/>
        <v>663837.6499999999</v>
      </c>
      <c r="CB97" s="110"/>
      <c r="CC97" s="110"/>
      <c r="CD97" s="110"/>
      <c r="CE97" s="110"/>
      <c r="CF97" s="110"/>
      <c r="CG97" s="110"/>
      <c r="CH97" s="110"/>
      <c r="CI97" s="110"/>
      <c r="CJ97" s="110"/>
      <c r="CK97" s="110"/>
      <c r="CL97" s="110"/>
      <c r="CM97" s="110"/>
      <c r="CN97" s="110"/>
      <c r="CO97" s="110"/>
      <c r="CP97" s="110"/>
      <c r="CQ97" s="110"/>
      <c r="CR97" s="110"/>
      <c r="CS97" s="110"/>
      <c r="CT97" s="110"/>
      <c r="CU97" s="110"/>
      <c r="CV97" s="110"/>
      <c r="CW97" s="110"/>
      <c r="CX97" s="110"/>
      <c r="CY97" s="110"/>
      <c r="CZ97" s="110"/>
      <c r="DA97" s="110"/>
      <c r="DB97" s="110"/>
      <c r="DC97" s="110"/>
      <c r="DD97" s="110"/>
      <c r="DE97" s="110"/>
    </row>
    <row r="98" spans="1:109" ht="12.75">
      <c r="A98" s="74" t="s">
        <v>171</v>
      </c>
      <c r="C98" s="10">
        <v>22990</v>
      </c>
      <c r="D98" s="10">
        <v>16146</v>
      </c>
      <c r="E98" s="10">
        <v>12639</v>
      </c>
      <c r="F98" s="10">
        <v>4146</v>
      </c>
      <c r="G98" s="10">
        <v>7214</v>
      </c>
      <c r="H98" s="10">
        <v>6480</v>
      </c>
      <c r="I98" s="10">
        <v>6748</v>
      </c>
      <c r="J98" s="10">
        <v>1443</v>
      </c>
      <c r="K98" s="10">
        <v>3116</v>
      </c>
      <c r="L98" s="10">
        <v>3281</v>
      </c>
      <c r="M98" s="10">
        <v>3905</v>
      </c>
      <c r="N98" s="10">
        <v>5282</v>
      </c>
      <c r="O98" s="10">
        <v>2619</v>
      </c>
      <c r="P98" s="10">
        <v>1052</v>
      </c>
      <c r="Q98" s="10">
        <v>3175</v>
      </c>
      <c r="R98" s="10">
        <v>1730</v>
      </c>
      <c r="S98" s="10">
        <v>1497</v>
      </c>
      <c r="T98" s="10">
        <v>2545</v>
      </c>
      <c r="U98" s="10">
        <v>2506</v>
      </c>
      <c r="V98" s="10">
        <v>649</v>
      </c>
      <c r="W98" s="10">
        <v>299</v>
      </c>
      <c r="X98" s="10">
        <v>1092</v>
      </c>
      <c r="Y98" s="10">
        <v>2353</v>
      </c>
      <c r="Z98" s="10">
        <v>866</v>
      </c>
      <c r="AA98" s="10">
        <v>2248</v>
      </c>
      <c r="AB98" s="10">
        <v>9805</v>
      </c>
      <c r="AC98" s="10">
        <v>3581</v>
      </c>
      <c r="AD98" s="10">
        <v>1021</v>
      </c>
      <c r="AE98" s="10">
        <v>652</v>
      </c>
      <c r="AF98" s="10"/>
      <c r="AG98" s="10">
        <v>1495</v>
      </c>
      <c r="AH98" s="10"/>
      <c r="AI98" s="10">
        <v>378</v>
      </c>
      <c r="AJ98" s="10">
        <v>3527</v>
      </c>
      <c r="AK98" s="10">
        <v>220</v>
      </c>
      <c r="AL98" s="10">
        <v>702</v>
      </c>
      <c r="AM98" s="10">
        <v>620</v>
      </c>
      <c r="AN98" s="10">
        <v>165</v>
      </c>
      <c r="AO98" s="10">
        <v>282</v>
      </c>
      <c r="AP98" s="10">
        <v>407</v>
      </c>
      <c r="AQ98" s="10"/>
      <c r="AR98" s="10">
        <v>478</v>
      </c>
      <c r="AS98" s="10">
        <v>167.5</v>
      </c>
      <c r="AT98" s="10">
        <v>464</v>
      </c>
      <c r="AU98" s="10">
        <v>88</v>
      </c>
      <c r="AV98" s="10">
        <v>489</v>
      </c>
      <c r="AW98" s="10">
        <v>237</v>
      </c>
      <c r="AX98" s="10"/>
      <c r="AY98" s="10"/>
      <c r="AZ98" s="10">
        <v>524</v>
      </c>
      <c r="BA98" s="10"/>
      <c r="BB98" s="10"/>
      <c r="BC98" s="10"/>
      <c r="BD98" s="10">
        <v>228</v>
      </c>
      <c r="BE98" s="10">
        <v>73</v>
      </c>
      <c r="BF98" s="10"/>
      <c r="BG98" s="10"/>
      <c r="BH98" s="10">
        <v>39</v>
      </c>
      <c r="BI98" s="10">
        <v>16</v>
      </c>
      <c r="BJ98" s="10">
        <v>46</v>
      </c>
      <c r="BK98" s="10">
        <v>146</v>
      </c>
      <c r="BL98" s="10"/>
      <c r="BM98" s="10"/>
      <c r="BN98" s="10"/>
      <c r="BO98" s="10">
        <v>65</v>
      </c>
      <c r="BP98" s="10">
        <v>11</v>
      </c>
      <c r="BQ98" s="110"/>
      <c r="BR98" s="110"/>
      <c r="BS98" s="110"/>
      <c r="BT98" s="110">
        <f>SUM(C98:BP98)</f>
        <v>141947.5</v>
      </c>
      <c r="BU98" s="110">
        <f t="shared" si="17"/>
        <v>29265</v>
      </c>
      <c r="BV98" s="10">
        <f t="shared" si="18"/>
        <v>51154</v>
      </c>
      <c r="BW98" s="10">
        <f t="shared" si="19"/>
        <v>50806</v>
      </c>
      <c r="BX98" s="10">
        <f t="shared" si="20"/>
        <v>131225</v>
      </c>
      <c r="BY98" s="10">
        <f t="shared" si="21"/>
        <v>10722.5</v>
      </c>
      <c r="BZ98" s="110"/>
      <c r="CA98" s="10">
        <f t="shared" si="22"/>
        <v>141947.5</v>
      </c>
      <c r="CB98" s="110"/>
      <c r="CC98" s="110"/>
      <c r="CD98" s="110"/>
      <c r="CE98" s="110"/>
      <c r="CF98" s="110"/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10"/>
      <c r="CX98" s="110"/>
      <c r="CY98" s="110"/>
      <c r="CZ98" s="110"/>
      <c r="DA98" s="110"/>
      <c r="DB98" s="110"/>
      <c r="DC98" s="110"/>
      <c r="DD98" s="110"/>
      <c r="DE98" s="110"/>
    </row>
    <row r="99" spans="1:109" ht="12.75">
      <c r="A99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</row>
    <row r="100" spans="1:109" ht="12.75">
      <c r="A10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</row>
    <row r="101" spans="1:109" ht="12.75">
      <c r="A10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/>
      <c r="Z101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/>
      <c r="BM101" s="10"/>
      <c r="BN101" s="10"/>
      <c r="BO101"/>
      <c r="BP101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</row>
    <row r="102" spans="1:109" ht="12.75">
      <c r="A102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  <c r="AE102" s="110"/>
      <c r="AF102" s="110"/>
      <c r="AG102" s="110"/>
      <c r="AH102" s="110"/>
      <c r="AI102" s="110"/>
      <c r="AJ102" s="110"/>
      <c r="AK102" s="110"/>
      <c r="AL102" s="110"/>
      <c r="AM102" s="110"/>
      <c r="AN102" s="110"/>
      <c r="AO102" s="110"/>
      <c r="AP102" s="110"/>
      <c r="AQ102" s="110"/>
      <c r="AR102" s="110"/>
      <c r="AS102" s="110"/>
      <c r="AT102" s="110"/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</row>
    <row r="103" spans="1:109" ht="12.75">
      <c r="A103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  <c r="AE103" s="110"/>
      <c r="AF103" s="110"/>
      <c r="AG103" s="110"/>
      <c r="AH103" s="110"/>
      <c r="AI103" s="110"/>
      <c r="AJ103" s="110"/>
      <c r="AK103" s="110"/>
      <c r="AL103" s="110"/>
      <c r="AM103" s="110"/>
      <c r="AN103" s="110"/>
      <c r="AO103" s="110"/>
      <c r="AP103" s="110"/>
      <c r="AQ103" s="110"/>
      <c r="AR103" s="110"/>
      <c r="AS103" s="110"/>
      <c r="AT103" s="110"/>
      <c r="AU103" s="110"/>
      <c r="AV103" s="110"/>
      <c r="AW103" s="110"/>
      <c r="AX103" s="110"/>
      <c r="AY103" s="110"/>
      <c r="AZ103" s="110"/>
      <c r="BA103" s="110"/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</row>
    <row r="104" spans="1:109" ht="12.75">
      <c r="A104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</row>
    <row r="105" spans="1:109" ht="12.75">
      <c r="A105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</row>
    <row r="106" spans="1:109" ht="12.75">
      <c r="A106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</row>
    <row r="107" spans="1:81" ht="12.75">
      <c r="A107"/>
      <c r="BU107" s="110"/>
      <c r="BV107" s="110"/>
      <c r="BW107" s="110"/>
      <c r="BX107" s="110"/>
      <c r="BY107" s="110"/>
      <c r="BZ107" s="110"/>
      <c r="CA107" s="110"/>
      <c r="CB107" s="110"/>
      <c r="CC107" s="110"/>
    </row>
    <row r="108" spans="1:81" ht="12.75">
      <c r="A108"/>
      <c r="BU108" s="110"/>
      <c r="BV108" s="110"/>
      <c r="BW108" s="110"/>
      <c r="BX108" s="110"/>
      <c r="BY108" s="110"/>
      <c r="BZ108" s="110"/>
      <c r="CA108" s="110"/>
      <c r="CB108" s="110"/>
      <c r="CC108" s="110"/>
    </row>
    <row r="109" spans="1:81" ht="12.75">
      <c r="A109"/>
      <c r="BU109" s="110"/>
      <c r="BV109" s="110"/>
      <c r="BW109" s="110"/>
      <c r="BX109" s="110"/>
      <c r="BY109" s="110"/>
      <c r="BZ109" s="110"/>
      <c r="CA109" s="110"/>
      <c r="CB109" s="110"/>
      <c r="CC109" s="110"/>
    </row>
    <row r="110" spans="1:81" ht="12.75">
      <c r="A110"/>
      <c r="BU110" s="110"/>
      <c r="BV110" s="110"/>
      <c r="BW110" s="110"/>
      <c r="BX110" s="110"/>
      <c r="BY110" s="110"/>
      <c r="BZ110" s="110"/>
      <c r="CA110" s="110"/>
      <c r="CB110" s="110"/>
      <c r="CC110" s="110"/>
    </row>
    <row r="111" spans="1:81" ht="12.75">
      <c r="A111"/>
      <c r="BU111" s="110"/>
      <c r="BV111" s="110"/>
      <c r="BW111" s="110"/>
      <c r="BX111" s="110"/>
      <c r="BY111" s="110"/>
      <c r="BZ111" s="110"/>
      <c r="CA111" s="110"/>
      <c r="CB111" s="110"/>
      <c r="CC111" s="110"/>
    </row>
    <row r="112" spans="73:81" ht="12.75">
      <c r="BU112" s="110"/>
      <c r="BV112" s="110"/>
      <c r="BW112" s="110"/>
      <c r="BX112" s="110"/>
      <c r="BY112" s="110"/>
      <c r="BZ112" s="110"/>
      <c r="CA112" s="110"/>
      <c r="CB112" s="110"/>
      <c r="CC112" s="110"/>
    </row>
    <row r="113" spans="73:81" ht="12.75">
      <c r="BU113" s="110"/>
      <c r="BV113" s="110"/>
      <c r="BW113" s="110"/>
      <c r="BX113" s="110"/>
      <c r="BY113" s="110"/>
      <c r="BZ113" s="110"/>
      <c r="CA113" s="110"/>
      <c r="CB113" s="110"/>
      <c r="CC113" s="110"/>
    </row>
    <row r="114" spans="73:81" ht="12.75">
      <c r="BU114" s="110"/>
      <c r="BV114" s="110"/>
      <c r="BW114" s="110"/>
      <c r="BX114" s="110"/>
      <c r="BY114" s="110"/>
      <c r="BZ114" s="110"/>
      <c r="CA114" s="110"/>
      <c r="CB114" s="110"/>
      <c r="CC114" s="110"/>
    </row>
    <row r="115" spans="73:81" ht="12.75">
      <c r="BU115" s="110"/>
      <c r="BV115" s="110"/>
      <c r="BW115" s="110"/>
      <c r="BX115" s="110"/>
      <c r="BY115" s="110"/>
      <c r="BZ115" s="110"/>
      <c r="CA115" s="110"/>
      <c r="CB115" s="110"/>
      <c r="CC115" s="110"/>
    </row>
    <row r="116" spans="73:81" ht="12.75">
      <c r="BU116" s="110"/>
      <c r="BV116" s="110"/>
      <c r="BW116" s="110"/>
      <c r="BX116" s="110"/>
      <c r="BY116" s="110"/>
      <c r="BZ116" s="110"/>
      <c r="CA116" s="110"/>
      <c r="CB116" s="110"/>
      <c r="CC116" s="110"/>
    </row>
    <row r="117" spans="73:81" ht="12.75">
      <c r="BU117" s="110"/>
      <c r="BV117" s="110"/>
      <c r="BW117" s="110"/>
      <c r="BX117" s="110"/>
      <c r="BY117" s="110"/>
      <c r="BZ117" s="110"/>
      <c r="CA117" s="110"/>
      <c r="CB117" s="110"/>
      <c r="CC117" s="110"/>
    </row>
    <row r="118" spans="73:81" ht="12.75">
      <c r="BU118" s="110"/>
      <c r="BV118" s="110"/>
      <c r="BW118" s="110"/>
      <c r="BX118" s="110"/>
      <c r="BY118" s="110"/>
      <c r="BZ118" s="110"/>
      <c r="CA118" s="110"/>
      <c r="CB118" s="110"/>
      <c r="CC118" s="110"/>
    </row>
    <row r="119" spans="73:81" ht="12.75">
      <c r="BU119" s="110"/>
      <c r="BV119" s="110"/>
      <c r="BW119" s="110"/>
      <c r="BX119" s="110"/>
      <c r="BY119" s="110"/>
      <c r="BZ119" s="110"/>
      <c r="CA119" s="110"/>
      <c r="CB119" s="110"/>
      <c r="CC119" s="110"/>
    </row>
    <row r="120" spans="73:81" ht="12.75">
      <c r="BU120" s="110"/>
      <c r="BV120" s="110"/>
      <c r="BW120" s="110"/>
      <c r="BX120" s="110"/>
      <c r="BY120" s="110"/>
      <c r="BZ120" s="110"/>
      <c r="CA120" s="110"/>
      <c r="CB120" s="110"/>
      <c r="CC120" s="110"/>
    </row>
    <row r="121" spans="73:81" ht="12.75">
      <c r="BU121" s="110"/>
      <c r="BV121" s="110"/>
      <c r="BW121" s="110"/>
      <c r="BX121" s="110"/>
      <c r="BY121" s="110"/>
      <c r="BZ121" s="110"/>
      <c r="CA121" s="110"/>
      <c r="CB121" s="110"/>
      <c r="CC121" s="110"/>
    </row>
    <row r="122" spans="73:81" ht="12.75">
      <c r="BU122" s="110"/>
      <c r="BV122" s="110"/>
      <c r="BW122" s="110"/>
      <c r="BX122" s="110"/>
      <c r="BY122" s="110"/>
      <c r="BZ122" s="110"/>
      <c r="CA122" s="110"/>
      <c r="CB122" s="110"/>
      <c r="CC122" s="110"/>
    </row>
    <row r="123" spans="73:81" ht="12.75">
      <c r="BU123" s="110"/>
      <c r="BV123" s="110"/>
      <c r="BW123" s="110"/>
      <c r="BX123" s="110"/>
      <c r="BY123" s="110"/>
      <c r="BZ123" s="110"/>
      <c r="CA123" s="110"/>
      <c r="CB123" s="110"/>
      <c r="CC123" s="110"/>
    </row>
    <row r="124" spans="73:81" ht="12.75">
      <c r="BU124" s="110"/>
      <c r="BV124" s="110"/>
      <c r="BW124" s="110"/>
      <c r="BX124" s="110"/>
      <c r="BY124" s="110"/>
      <c r="BZ124" s="110"/>
      <c r="CA124" s="110"/>
      <c r="CB124" s="110"/>
      <c r="CC124" s="110"/>
    </row>
    <row r="125" spans="73:81" ht="12.75">
      <c r="BU125" s="110"/>
      <c r="BV125" s="110"/>
      <c r="BW125" s="110"/>
      <c r="BX125" s="110"/>
      <c r="BY125" s="110"/>
      <c r="BZ125" s="110"/>
      <c r="CA125" s="110"/>
      <c r="CB125" s="110"/>
      <c r="CC125" s="110"/>
    </row>
    <row r="126" spans="73:81" ht="12.75">
      <c r="BU126" s="110"/>
      <c r="BV126" s="110"/>
      <c r="BW126" s="110"/>
      <c r="BX126" s="110"/>
      <c r="BY126" s="110"/>
      <c r="BZ126" s="110"/>
      <c r="CA126" s="110"/>
      <c r="CB126" s="110"/>
      <c r="CC126" s="110"/>
    </row>
    <row r="127" spans="73:81" ht="12.75">
      <c r="BU127" s="110"/>
      <c r="BV127" s="110"/>
      <c r="BW127" s="110"/>
      <c r="BX127" s="110"/>
      <c r="BY127" s="110"/>
      <c r="BZ127" s="110"/>
      <c r="CA127" s="110"/>
      <c r="CB127" s="110"/>
      <c r="CC127" s="110"/>
    </row>
  </sheetData>
  <sheetProtection/>
  <mergeCells count="1">
    <mergeCell ref="BV6:BW7"/>
  </mergeCells>
  <printOptions/>
  <pageMargins left="0.1968503937007874" right="0.1968503937007874" top="1.535433070866142" bottom="0.3937007874015748" header="0.7086614173228347" footer="0.5511811023622047"/>
  <pageSetup horizontalDpi="300" verticalDpi="300" orientation="portrait" paperSize="9" r:id="rId1"/>
  <headerFooter alignWithMargins="0">
    <oddHeader>&amp;C
&amp;"Times New Roman,Bold"&amp;14 3.4. KENNITÖLUR 1998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CG271"/>
  <sheetViews>
    <sheetView zoomScale="90" zoomScaleNormal="90" zoomScalePageLayoutView="0" workbookViewId="0" topLeftCell="A1">
      <pane xSplit="1" ySplit="5" topLeftCell="BP3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S47" sqref="BS47"/>
    </sheetView>
  </sheetViews>
  <sheetFormatPr defaultColWidth="14.00390625" defaultRowHeight="12.75"/>
  <cols>
    <col min="1" max="1" width="28.75390625" style="84" customWidth="1"/>
    <col min="2" max="2" width="9.50390625" style="25" customWidth="1"/>
    <col min="3" max="3" width="9.25390625" style="25" customWidth="1"/>
    <col min="4" max="4" width="9.625" style="25" customWidth="1"/>
    <col min="5" max="68" width="9.50390625" style="25" customWidth="1"/>
    <col min="69" max="69" width="9.625" style="25" customWidth="1"/>
    <col min="70" max="70" width="8.25390625" style="25" customWidth="1"/>
    <col min="71" max="71" width="10.00390625" style="25" customWidth="1"/>
    <col min="72" max="76" width="10.375" style="25" customWidth="1"/>
    <col min="77" max="77" width="2.625" style="25" customWidth="1"/>
    <col min="78" max="78" width="10.375" style="25" customWidth="1"/>
    <col min="79" max="80" width="14.00390625" style="24" customWidth="1"/>
    <col min="81" max="16384" width="14.00390625" style="25" customWidth="1"/>
  </cols>
  <sheetData>
    <row r="1" spans="1:80" ht="7.5" customHeight="1">
      <c r="A1" s="170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23"/>
    </row>
    <row r="2" spans="1:80" s="83" customFormat="1" ht="11.25" customHeight="1">
      <c r="A2" s="170"/>
      <c r="B2" s="132" t="s">
        <v>0</v>
      </c>
      <c r="C2" s="132" t="s">
        <v>0</v>
      </c>
      <c r="D2" s="132" t="s">
        <v>0</v>
      </c>
      <c r="E2" s="132" t="s">
        <v>0</v>
      </c>
      <c r="F2" s="132" t="s">
        <v>1</v>
      </c>
      <c r="G2" s="132" t="s">
        <v>0</v>
      </c>
      <c r="H2" s="132" t="s">
        <v>2</v>
      </c>
      <c r="I2" s="131" t="s">
        <v>0</v>
      </c>
      <c r="J2" s="132" t="s">
        <v>3</v>
      </c>
      <c r="K2" s="132" t="s">
        <v>0</v>
      </c>
      <c r="L2" s="132" t="s">
        <v>0</v>
      </c>
      <c r="M2" s="132" t="s">
        <v>0</v>
      </c>
      <c r="N2" s="132" t="s">
        <v>0</v>
      </c>
      <c r="O2" s="132" t="s">
        <v>0</v>
      </c>
      <c r="P2" s="132" t="s">
        <v>0</v>
      </c>
      <c r="Q2" s="132" t="s">
        <v>0</v>
      </c>
      <c r="R2" s="132" t="s">
        <v>0</v>
      </c>
      <c r="S2" s="132" t="s">
        <v>0</v>
      </c>
      <c r="T2" s="132" t="s">
        <v>5</v>
      </c>
      <c r="U2" s="131" t="s">
        <v>0</v>
      </c>
      <c r="V2" s="132" t="s">
        <v>516</v>
      </c>
      <c r="W2" s="132" t="s">
        <v>0</v>
      </c>
      <c r="X2" s="132" t="s">
        <v>7</v>
      </c>
      <c r="Y2" s="131" t="s">
        <v>0</v>
      </c>
      <c r="Z2" s="132" t="s">
        <v>0</v>
      </c>
      <c r="AA2" s="132" t="s">
        <v>0</v>
      </c>
      <c r="AB2" s="132" t="s">
        <v>0</v>
      </c>
      <c r="AC2" s="132" t="s">
        <v>0</v>
      </c>
      <c r="AD2" s="132" t="s">
        <v>0</v>
      </c>
      <c r="AE2" s="132" t="s">
        <v>0</v>
      </c>
      <c r="AF2" s="132" t="s">
        <v>8</v>
      </c>
      <c r="AG2" s="132" t="s">
        <v>4</v>
      </c>
      <c r="AH2" s="132" t="s">
        <v>6</v>
      </c>
      <c r="AI2" s="132" t="s">
        <v>6</v>
      </c>
      <c r="AJ2" s="132" t="s">
        <v>0</v>
      </c>
      <c r="AK2" s="132" t="s">
        <v>0</v>
      </c>
      <c r="AL2" s="132" t="s">
        <v>0</v>
      </c>
      <c r="AM2" s="132" t="s">
        <v>4</v>
      </c>
      <c r="AN2" s="132" t="s">
        <v>0</v>
      </c>
      <c r="AO2" s="132" t="s">
        <v>0</v>
      </c>
      <c r="AP2" s="132" t="s">
        <v>0</v>
      </c>
      <c r="AQ2" s="132" t="s">
        <v>4</v>
      </c>
      <c r="AR2" s="132" t="s">
        <v>0</v>
      </c>
      <c r="AS2" s="132" t="s">
        <v>0</v>
      </c>
      <c r="AT2" s="132" t="s">
        <v>0</v>
      </c>
      <c r="AU2" s="132" t="s">
        <v>0</v>
      </c>
      <c r="AV2" s="132" t="s">
        <v>0</v>
      </c>
      <c r="AW2" s="132" t="s">
        <v>4</v>
      </c>
      <c r="AX2" s="132" t="s">
        <v>4</v>
      </c>
      <c r="AY2" s="132" t="s">
        <v>61</v>
      </c>
      <c r="AZ2" s="132" t="s">
        <v>0</v>
      </c>
      <c r="BA2" s="132" t="s">
        <v>0</v>
      </c>
      <c r="BB2" s="132" t="s">
        <v>6</v>
      </c>
      <c r="BC2" s="132" t="s">
        <v>4</v>
      </c>
      <c r="BD2" s="132" t="s">
        <v>0</v>
      </c>
      <c r="BE2" s="132" t="s">
        <v>4</v>
      </c>
      <c r="BF2" s="132" t="s">
        <v>0</v>
      </c>
      <c r="BG2" s="132" t="s">
        <v>0</v>
      </c>
      <c r="BH2" s="132" t="s">
        <v>0</v>
      </c>
      <c r="BI2" s="132" t="s">
        <v>9</v>
      </c>
      <c r="BJ2" s="132" t="s">
        <v>0</v>
      </c>
      <c r="BK2" s="132" t="s">
        <v>0</v>
      </c>
      <c r="BL2" s="132" t="s">
        <v>0</v>
      </c>
      <c r="BM2" s="132" t="s">
        <v>0</v>
      </c>
      <c r="BN2" s="132" t="s">
        <v>0</v>
      </c>
      <c r="BO2" s="132" t="s">
        <v>0</v>
      </c>
      <c r="BP2" s="132"/>
      <c r="BQ2" s="132"/>
      <c r="BR2" s="132"/>
      <c r="BS2" s="54" t="s">
        <v>10</v>
      </c>
      <c r="BT2" s="138" t="s">
        <v>545</v>
      </c>
      <c r="BU2" s="226" t="s">
        <v>542</v>
      </c>
      <c r="BV2" s="226"/>
      <c r="BW2" s="54"/>
      <c r="BX2" s="54"/>
      <c r="BY2" s="54"/>
      <c r="BZ2" s="54" t="s">
        <v>11</v>
      </c>
      <c r="CA2" s="171"/>
      <c r="CB2" s="85"/>
    </row>
    <row r="3" spans="1:80" s="83" customFormat="1" ht="11.25" customHeight="1">
      <c r="A3" s="47" t="s">
        <v>12</v>
      </c>
      <c r="B3" s="132" t="s">
        <v>13</v>
      </c>
      <c r="C3" s="132" t="s">
        <v>17</v>
      </c>
      <c r="D3" s="132" t="s">
        <v>507</v>
      </c>
      <c r="E3" s="132" t="s">
        <v>14</v>
      </c>
      <c r="F3" s="132" t="s">
        <v>16</v>
      </c>
      <c r="G3" s="132" t="s">
        <v>18</v>
      </c>
      <c r="H3" s="132" t="s">
        <v>16</v>
      </c>
      <c r="I3" s="131" t="s">
        <v>551</v>
      </c>
      <c r="J3" s="132" t="s">
        <v>16</v>
      </c>
      <c r="K3" s="132" t="s">
        <v>427</v>
      </c>
      <c r="L3" s="132" t="s">
        <v>20</v>
      </c>
      <c r="M3" s="132" t="s">
        <v>19</v>
      </c>
      <c r="N3" s="132" t="s">
        <v>21</v>
      </c>
      <c r="O3" s="132" t="s">
        <v>23</v>
      </c>
      <c r="P3" s="132" t="s">
        <v>22</v>
      </c>
      <c r="Q3" s="132" t="s">
        <v>24</v>
      </c>
      <c r="R3" s="132" t="s">
        <v>565</v>
      </c>
      <c r="S3" s="132" t="s">
        <v>25</v>
      </c>
      <c r="T3" s="132" t="s">
        <v>16</v>
      </c>
      <c r="U3" s="131" t="s">
        <v>15</v>
      </c>
      <c r="V3" s="132" t="s">
        <v>53</v>
      </c>
      <c r="W3" s="132" t="s">
        <v>26</v>
      </c>
      <c r="X3" s="132" t="s">
        <v>31</v>
      </c>
      <c r="Y3" s="131" t="s">
        <v>553</v>
      </c>
      <c r="Z3" s="132" t="s">
        <v>83</v>
      </c>
      <c r="AA3" s="132" t="s">
        <v>507</v>
      </c>
      <c r="AB3" s="132" t="s">
        <v>15</v>
      </c>
      <c r="AC3" s="132" t="s">
        <v>27</v>
      </c>
      <c r="AD3" s="132" t="s">
        <v>28</v>
      </c>
      <c r="AE3" s="132" t="s">
        <v>29</v>
      </c>
      <c r="AF3" s="132" t="s">
        <v>16</v>
      </c>
      <c r="AG3" s="132" t="s">
        <v>15</v>
      </c>
      <c r="AH3" s="132" t="s">
        <v>30</v>
      </c>
      <c r="AI3" s="132" t="s">
        <v>30</v>
      </c>
      <c r="AJ3" s="132" t="s">
        <v>32</v>
      </c>
      <c r="AK3" s="132" t="s">
        <v>33</v>
      </c>
      <c r="AL3" s="132" t="s">
        <v>34</v>
      </c>
      <c r="AM3" s="132" t="s">
        <v>35</v>
      </c>
      <c r="AN3" s="132" t="s">
        <v>36</v>
      </c>
      <c r="AO3" s="132" t="s">
        <v>38</v>
      </c>
      <c r="AP3" s="132" t="s">
        <v>37</v>
      </c>
      <c r="AQ3" s="132" t="s">
        <v>39</v>
      </c>
      <c r="AR3" s="132" t="s">
        <v>42</v>
      </c>
      <c r="AS3" s="132" t="s">
        <v>40</v>
      </c>
      <c r="AT3" s="132" t="s">
        <v>41</v>
      </c>
      <c r="AU3" s="132" t="s">
        <v>43</v>
      </c>
      <c r="AV3" s="132" t="s">
        <v>45</v>
      </c>
      <c r="AW3" s="132" t="s">
        <v>44</v>
      </c>
      <c r="AX3" s="132" t="s">
        <v>46</v>
      </c>
      <c r="AY3" s="132" t="s">
        <v>16</v>
      </c>
      <c r="AZ3" s="132" t="s">
        <v>15</v>
      </c>
      <c r="BA3" s="132" t="s">
        <v>47</v>
      </c>
      <c r="BB3" s="132" t="s">
        <v>30</v>
      </c>
      <c r="BC3" s="132" t="s">
        <v>496</v>
      </c>
      <c r="BD3" s="132" t="s">
        <v>48</v>
      </c>
      <c r="BE3" s="132" t="s">
        <v>50</v>
      </c>
      <c r="BF3" s="132" t="s">
        <v>49</v>
      </c>
      <c r="BG3" s="132" t="s">
        <v>51</v>
      </c>
      <c r="BH3" s="132" t="s">
        <v>52</v>
      </c>
      <c r="BI3" s="132" t="s">
        <v>53</v>
      </c>
      <c r="BJ3" s="132" t="s">
        <v>54</v>
      </c>
      <c r="BK3" s="132" t="s">
        <v>15</v>
      </c>
      <c r="BL3" s="132" t="s">
        <v>55</v>
      </c>
      <c r="BM3" s="132" t="s">
        <v>56</v>
      </c>
      <c r="BN3" s="132" t="s">
        <v>57</v>
      </c>
      <c r="BO3" s="132" t="s">
        <v>58</v>
      </c>
      <c r="BP3" s="132"/>
      <c r="BQ3" s="132"/>
      <c r="BR3" s="132"/>
      <c r="BS3" s="54" t="s">
        <v>59</v>
      </c>
      <c r="BT3" s="138" t="s">
        <v>546</v>
      </c>
      <c r="BU3" s="226"/>
      <c r="BV3" s="226"/>
      <c r="BW3" s="54"/>
      <c r="BX3" s="54" t="s">
        <v>61</v>
      </c>
      <c r="BY3" s="54"/>
      <c r="BZ3" s="54" t="s">
        <v>59</v>
      </c>
      <c r="CA3" s="171"/>
      <c r="CB3" s="85"/>
    </row>
    <row r="4" spans="1:80" s="83" customFormat="1" ht="11.25" customHeight="1">
      <c r="A4" s="170"/>
      <c r="B4" s="132" t="s">
        <v>62</v>
      </c>
      <c r="C4" s="132"/>
      <c r="D4" s="132" t="s">
        <v>508</v>
      </c>
      <c r="E4" s="132"/>
      <c r="F4" s="132" t="s">
        <v>30</v>
      </c>
      <c r="G4" s="132" t="s">
        <v>64</v>
      </c>
      <c r="H4" s="132" t="s">
        <v>63</v>
      </c>
      <c r="I4" s="131" t="s">
        <v>77</v>
      </c>
      <c r="J4" s="132" t="s">
        <v>30</v>
      </c>
      <c r="K4" s="132"/>
      <c r="L4" s="132" t="s">
        <v>64</v>
      </c>
      <c r="M4" s="132"/>
      <c r="N4" s="132" t="s">
        <v>65</v>
      </c>
      <c r="O4" s="132"/>
      <c r="P4" s="132" t="s">
        <v>66</v>
      </c>
      <c r="Q4" s="132" t="s">
        <v>501</v>
      </c>
      <c r="R4" s="132" t="s">
        <v>564</v>
      </c>
      <c r="S4" s="132" t="s">
        <v>64</v>
      </c>
      <c r="T4" s="132" t="s">
        <v>30</v>
      </c>
      <c r="U4" s="131" t="s">
        <v>566</v>
      </c>
      <c r="V4" s="132" t="s">
        <v>517</v>
      </c>
      <c r="W4" s="132" t="s">
        <v>346</v>
      </c>
      <c r="X4" s="132" t="s">
        <v>73</v>
      </c>
      <c r="Y4" s="131" t="s">
        <v>554</v>
      </c>
      <c r="Z4" s="132"/>
      <c r="AA4" s="132" t="s">
        <v>509</v>
      </c>
      <c r="AB4" s="132" t="s">
        <v>69</v>
      </c>
      <c r="AC4" s="132" t="s">
        <v>68</v>
      </c>
      <c r="AD4" s="132"/>
      <c r="AE4" s="132" t="s">
        <v>70</v>
      </c>
      <c r="AF4" s="132" t="s">
        <v>85</v>
      </c>
      <c r="AG4" s="132" t="s">
        <v>71</v>
      </c>
      <c r="AH4" s="132" t="s">
        <v>72</v>
      </c>
      <c r="AI4" s="132" t="s">
        <v>90</v>
      </c>
      <c r="AJ4" s="132" t="s">
        <v>74</v>
      </c>
      <c r="AK4" s="132" t="s">
        <v>75</v>
      </c>
      <c r="AL4" s="132"/>
      <c r="AM4" s="132" t="s">
        <v>76</v>
      </c>
      <c r="AN4" s="132" t="s">
        <v>77</v>
      </c>
      <c r="AO4" s="132" t="s">
        <v>79</v>
      </c>
      <c r="AP4" s="132" t="s">
        <v>78</v>
      </c>
      <c r="AQ4" s="132" t="s">
        <v>561</v>
      </c>
      <c r="AR4" s="132" t="s">
        <v>67</v>
      </c>
      <c r="AS4" s="132" t="s">
        <v>81</v>
      </c>
      <c r="AT4" s="132" t="s">
        <v>76</v>
      </c>
      <c r="AU4" s="132" t="s">
        <v>82</v>
      </c>
      <c r="AV4" s="132" t="s">
        <v>80</v>
      </c>
      <c r="AW4" s="132" t="s">
        <v>83</v>
      </c>
      <c r="AX4" s="132" t="s">
        <v>84</v>
      </c>
      <c r="AY4" s="132" t="s">
        <v>30</v>
      </c>
      <c r="AZ4" s="132" t="s">
        <v>86</v>
      </c>
      <c r="BA4" s="132" t="s">
        <v>88</v>
      </c>
      <c r="BB4" s="132" t="s">
        <v>87</v>
      </c>
      <c r="BC4" s="132" t="s">
        <v>89</v>
      </c>
      <c r="BD4" s="132" t="s">
        <v>91</v>
      </c>
      <c r="BE4" s="132" t="s">
        <v>93</v>
      </c>
      <c r="BF4" s="132" t="s">
        <v>92</v>
      </c>
      <c r="BG4" s="132" t="s">
        <v>94</v>
      </c>
      <c r="BH4" s="132" t="s">
        <v>95</v>
      </c>
      <c r="BI4" s="132" t="s">
        <v>96</v>
      </c>
      <c r="BJ4" s="132" t="s">
        <v>97</v>
      </c>
      <c r="BK4" s="132" t="s">
        <v>555</v>
      </c>
      <c r="BL4" s="132" t="s">
        <v>98</v>
      </c>
      <c r="BM4" s="132" t="s">
        <v>99</v>
      </c>
      <c r="BN4" s="132" t="s">
        <v>62</v>
      </c>
      <c r="BO4" s="132"/>
      <c r="BP4" s="132"/>
      <c r="BQ4" s="132"/>
      <c r="BR4" s="132"/>
      <c r="BS4" s="54" t="s">
        <v>100</v>
      </c>
      <c r="BT4" s="138" t="s">
        <v>541</v>
      </c>
      <c r="BU4" s="138" t="s">
        <v>543</v>
      </c>
      <c r="BV4" s="138" t="s">
        <v>544</v>
      </c>
      <c r="BW4" s="54" t="s">
        <v>101</v>
      </c>
      <c r="BX4" s="54" t="s">
        <v>60</v>
      </c>
      <c r="BY4" s="54"/>
      <c r="BZ4" s="54" t="s">
        <v>100</v>
      </c>
      <c r="CA4" s="171"/>
      <c r="CB4" s="85"/>
    </row>
    <row r="5" spans="1:80" s="152" customFormat="1" ht="12.75">
      <c r="A5" s="172"/>
      <c r="B5" s="133" t="s">
        <v>102</v>
      </c>
      <c r="C5" s="133" t="s">
        <v>103</v>
      </c>
      <c r="D5" s="133" t="s">
        <v>104</v>
      </c>
      <c r="E5" s="133" t="s">
        <v>105</v>
      </c>
      <c r="F5" s="133" t="s">
        <v>106</v>
      </c>
      <c r="G5" s="133" t="s">
        <v>107</v>
      </c>
      <c r="H5" s="133" t="s">
        <v>108</v>
      </c>
      <c r="I5" s="133" t="s">
        <v>109</v>
      </c>
      <c r="J5" s="133" t="s">
        <v>335</v>
      </c>
      <c r="K5" s="133" t="s">
        <v>336</v>
      </c>
      <c r="L5" s="133" t="s">
        <v>337</v>
      </c>
      <c r="M5" s="133" t="s">
        <v>110</v>
      </c>
      <c r="N5" s="133" t="s">
        <v>111</v>
      </c>
      <c r="O5" s="133" t="s">
        <v>112</v>
      </c>
      <c r="P5" s="133" t="s">
        <v>113</v>
      </c>
      <c r="Q5" s="133" t="s">
        <v>114</v>
      </c>
      <c r="R5" s="133" t="s">
        <v>115</v>
      </c>
      <c r="S5" s="133" t="s">
        <v>116</v>
      </c>
      <c r="T5" s="133" t="s">
        <v>117</v>
      </c>
      <c r="U5" s="133" t="s">
        <v>118</v>
      </c>
      <c r="V5" s="133" t="s">
        <v>119</v>
      </c>
      <c r="W5" s="133" t="s">
        <v>120</v>
      </c>
      <c r="X5" s="133" t="s">
        <v>121</v>
      </c>
      <c r="Y5" s="133" t="s">
        <v>122</v>
      </c>
      <c r="Z5" s="133" t="s">
        <v>123</v>
      </c>
      <c r="AA5" s="133" t="s">
        <v>124</v>
      </c>
      <c r="AB5" s="133" t="s">
        <v>125</v>
      </c>
      <c r="AC5" s="133" t="s">
        <v>126</v>
      </c>
      <c r="AD5" s="133" t="s">
        <v>127</v>
      </c>
      <c r="AE5" s="133" t="s">
        <v>128</v>
      </c>
      <c r="AF5" s="133" t="s">
        <v>129</v>
      </c>
      <c r="AG5" s="133" t="s">
        <v>130</v>
      </c>
      <c r="AH5" s="133" t="s">
        <v>131</v>
      </c>
      <c r="AI5" s="133" t="s">
        <v>132</v>
      </c>
      <c r="AJ5" s="133" t="s">
        <v>133</v>
      </c>
      <c r="AK5" s="133" t="s">
        <v>134</v>
      </c>
      <c r="AL5" s="133" t="s">
        <v>135</v>
      </c>
      <c r="AM5" s="133" t="s">
        <v>136</v>
      </c>
      <c r="AN5" s="133" t="s">
        <v>137</v>
      </c>
      <c r="AO5" s="133" t="s">
        <v>138</v>
      </c>
      <c r="AP5" s="133" t="s">
        <v>139</v>
      </c>
      <c r="AQ5" s="133" t="s">
        <v>140</v>
      </c>
      <c r="AR5" s="133" t="s">
        <v>141</v>
      </c>
      <c r="AS5" s="133" t="s">
        <v>142</v>
      </c>
      <c r="AT5" s="133" t="s">
        <v>143</v>
      </c>
      <c r="AU5" s="133" t="s">
        <v>144</v>
      </c>
      <c r="AV5" s="133" t="s">
        <v>145</v>
      </c>
      <c r="AW5" s="133" t="s">
        <v>146</v>
      </c>
      <c r="AX5" s="133" t="s">
        <v>147</v>
      </c>
      <c r="AY5" s="133" t="s">
        <v>148</v>
      </c>
      <c r="AZ5" s="133" t="s">
        <v>149</v>
      </c>
      <c r="BA5" s="133" t="s">
        <v>150</v>
      </c>
      <c r="BB5" s="133" t="s">
        <v>348</v>
      </c>
      <c r="BC5" s="133" t="s">
        <v>151</v>
      </c>
      <c r="BD5" s="133" t="s">
        <v>152</v>
      </c>
      <c r="BE5" s="133" t="s">
        <v>153</v>
      </c>
      <c r="BF5" s="133" t="s">
        <v>154</v>
      </c>
      <c r="BG5" s="133" t="s">
        <v>155</v>
      </c>
      <c r="BH5" s="133" t="s">
        <v>349</v>
      </c>
      <c r="BI5" s="133" t="s">
        <v>156</v>
      </c>
      <c r="BJ5" s="133" t="s">
        <v>157</v>
      </c>
      <c r="BK5" s="133" t="s">
        <v>158</v>
      </c>
      <c r="BL5" s="133" t="s">
        <v>159</v>
      </c>
      <c r="BM5" s="133" t="s">
        <v>160</v>
      </c>
      <c r="BN5" s="133" t="s">
        <v>161</v>
      </c>
      <c r="BO5" s="133" t="s">
        <v>162</v>
      </c>
      <c r="BP5" s="133"/>
      <c r="BQ5" s="133"/>
      <c r="BR5" s="133"/>
      <c r="BS5" s="173"/>
      <c r="BT5" s="173" t="s">
        <v>589</v>
      </c>
      <c r="BU5" s="173" t="s">
        <v>494</v>
      </c>
      <c r="BV5" s="173" t="s">
        <v>590</v>
      </c>
      <c r="BW5" s="173" t="s">
        <v>586</v>
      </c>
      <c r="BX5" s="173" t="s">
        <v>585</v>
      </c>
      <c r="BY5" s="173"/>
      <c r="BZ5" s="173" t="s">
        <v>513</v>
      </c>
      <c r="CA5" s="173"/>
      <c r="CB5" s="151"/>
    </row>
    <row r="6" spans="1:80" ht="4.5" customHeight="1">
      <c r="A6" s="16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36"/>
      <c r="CB6" s="9"/>
    </row>
    <row r="7" spans="1:80" ht="11.25" customHeight="1">
      <c r="A7" s="168" t="s">
        <v>428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23"/>
      <c r="CB7" s="23"/>
    </row>
    <row r="8" spans="1:80" s="169" customFormat="1" ht="16.5" customHeight="1">
      <c r="A8" s="176" t="s">
        <v>433</v>
      </c>
      <c r="B8" s="110">
        <f aca="true" t="shared" si="0" ref="B8:O8">SUM(B9:B12)</f>
        <v>1722799</v>
      </c>
      <c r="C8" s="110">
        <f t="shared" si="0"/>
        <v>823745</v>
      </c>
      <c r="D8" s="110">
        <f t="shared" si="0"/>
        <v>2239482</v>
      </c>
      <c r="E8" s="110">
        <f t="shared" si="0"/>
        <v>2072071</v>
      </c>
      <c r="F8" s="110">
        <f t="shared" si="0"/>
        <v>541959</v>
      </c>
      <c r="G8" s="110">
        <f t="shared" si="0"/>
        <v>1643388</v>
      </c>
      <c r="H8" s="110">
        <f t="shared" si="0"/>
        <v>1392989</v>
      </c>
      <c r="I8" s="110">
        <f t="shared" si="0"/>
        <v>671674</v>
      </c>
      <c r="J8" s="110">
        <f t="shared" si="0"/>
        <v>119879</v>
      </c>
      <c r="K8" s="110">
        <f t="shared" si="0"/>
        <v>1357003</v>
      </c>
      <c r="L8" s="110">
        <f t="shared" si="0"/>
        <v>420687</v>
      </c>
      <c r="M8" s="110">
        <f t="shared" si="0"/>
        <v>93128</v>
      </c>
      <c r="N8" s="110">
        <f t="shared" si="0"/>
        <v>501108</v>
      </c>
      <c r="O8" s="110">
        <f t="shared" si="0"/>
        <v>80050.9</v>
      </c>
      <c r="P8" s="110">
        <f aca="true" t="shared" si="1" ref="P8:V8">SUM(P9:P12)</f>
        <v>0</v>
      </c>
      <c r="Q8" s="110">
        <f t="shared" si="1"/>
        <v>883373</v>
      </c>
      <c r="R8" s="110">
        <f t="shared" si="1"/>
        <v>0</v>
      </c>
      <c r="S8" s="110">
        <f t="shared" si="1"/>
        <v>55124</v>
      </c>
      <c r="T8" s="110">
        <f>SUM(T9:T12)</f>
        <v>491614</v>
      </c>
      <c r="U8" s="110">
        <f>SUM(U9:U12)</f>
        <v>275468</v>
      </c>
      <c r="V8" s="110">
        <f t="shared" si="1"/>
        <v>966213</v>
      </c>
      <c r="W8" s="110">
        <f aca="true" t="shared" si="2" ref="W8:AD8">SUM(W9:W12)</f>
        <v>174111</v>
      </c>
      <c r="X8" s="110">
        <f t="shared" si="2"/>
        <v>112</v>
      </c>
      <c r="Y8" s="110">
        <f t="shared" si="2"/>
        <v>0</v>
      </c>
      <c r="Z8" s="110">
        <f t="shared" si="2"/>
        <v>348468</v>
      </c>
      <c r="AA8" s="110">
        <f t="shared" si="2"/>
        <v>95263</v>
      </c>
      <c r="AB8" s="110">
        <f t="shared" si="2"/>
        <v>0</v>
      </c>
      <c r="AC8" s="110">
        <f t="shared" si="2"/>
        <v>119935</v>
      </c>
      <c r="AD8" s="110">
        <f t="shared" si="2"/>
        <v>156615</v>
      </c>
      <c r="AE8" s="110">
        <f aca="true" t="shared" si="3" ref="AE8:BO8">SUM(AE9:AE12)</f>
        <v>156665</v>
      </c>
      <c r="AF8" s="110">
        <f>SUM(AF9:AF12)</f>
        <v>297013</v>
      </c>
      <c r="AG8" s="110">
        <f t="shared" si="3"/>
        <v>0</v>
      </c>
      <c r="AH8" s="110">
        <f>SUM(AH9:AH12)</f>
        <v>0</v>
      </c>
      <c r="AI8" s="110">
        <f>SUM(AI9:AI12)</f>
        <v>195484</v>
      </c>
      <c r="AJ8" s="110">
        <f t="shared" si="3"/>
        <v>413721</v>
      </c>
      <c r="AK8" s="110">
        <f t="shared" si="3"/>
        <v>14725</v>
      </c>
      <c r="AL8" s="110">
        <f t="shared" si="3"/>
        <v>0</v>
      </c>
      <c r="AM8" s="110">
        <f t="shared" si="3"/>
        <v>97275</v>
      </c>
      <c r="AN8" s="110">
        <f t="shared" si="3"/>
        <v>33185</v>
      </c>
      <c r="AO8" s="110">
        <f>SUM(AO9:AO12)</f>
        <v>42975</v>
      </c>
      <c r="AP8" s="110">
        <f t="shared" si="3"/>
        <v>161679</v>
      </c>
      <c r="AQ8" s="110">
        <f t="shared" si="3"/>
        <v>0</v>
      </c>
      <c r="AR8" s="110">
        <f>SUM(AR9:AR12)</f>
        <v>254499</v>
      </c>
      <c r="AS8" s="110">
        <f t="shared" si="3"/>
        <v>112878</v>
      </c>
      <c r="AT8" s="110">
        <f>SUM(AT9:AT12)</f>
        <v>141264</v>
      </c>
      <c r="AU8" s="110">
        <f t="shared" si="3"/>
        <v>14021</v>
      </c>
      <c r="AV8" s="110">
        <f>SUM(AV9:AV12)</f>
        <v>143269</v>
      </c>
      <c r="AW8" s="110">
        <f t="shared" si="3"/>
        <v>99100</v>
      </c>
      <c r="AX8" s="110">
        <f t="shared" si="3"/>
        <v>39970</v>
      </c>
      <c r="AY8" s="110">
        <f>SUM(AY9:AY12)</f>
        <v>54567</v>
      </c>
      <c r="AZ8" s="110">
        <f t="shared" si="3"/>
        <v>53383</v>
      </c>
      <c r="BA8" s="110">
        <f>SUM(BA9:BA12)</f>
        <v>40473</v>
      </c>
      <c r="BB8" s="110">
        <f t="shared" si="3"/>
        <v>0</v>
      </c>
      <c r="BC8" s="110">
        <f t="shared" si="3"/>
        <v>0</v>
      </c>
      <c r="BD8" s="110">
        <f t="shared" si="3"/>
        <v>18702</v>
      </c>
      <c r="BE8" s="110">
        <f t="shared" si="3"/>
        <v>0</v>
      </c>
      <c r="BF8" s="110">
        <f>SUM(BF9:BF12)</f>
        <v>66653</v>
      </c>
      <c r="BG8" s="110">
        <f>SUM(BG9:BG12)</f>
        <v>10743</v>
      </c>
      <c r="BH8" s="110">
        <f>SUM(BH9:BH12)</f>
        <v>2888</v>
      </c>
      <c r="BI8" s="110">
        <f t="shared" si="3"/>
        <v>26828</v>
      </c>
      <c r="BJ8" s="110">
        <f t="shared" si="3"/>
        <v>0</v>
      </c>
      <c r="BK8" s="110">
        <f>SUM(BK9:BK12)</f>
        <v>0</v>
      </c>
      <c r="BL8" s="110">
        <f t="shared" si="3"/>
        <v>0</v>
      </c>
      <c r="BM8" s="110">
        <f t="shared" si="3"/>
        <v>0</v>
      </c>
      <c r="BN8" s="110">
        <f t="shared" si="3"/>
        <v>0</v>
      </c>
      <c r="BO8" s="110">
        <f t="shared" si="3"/>
        <v>0</v>
      </c>
      <c r="BP8" s="110"/>
      <c r="BQ8" s="110"/>
      <c r="BR8" s="110"/>
      <c r="BS8" s="114">
        <f>SUM(A8:BO8)</f>
        <v>19738218.9</v>
      </c>
      <c r="BT8" s="114">
        <f>SUM(D8+W8+AA8+AB8+AE8+AG8+AO8+AQ8+AS8+AV8+BC8+BD8+BE8+BG8+BJ8+BK8+BL8+BN8+BO8)</f>
        <v>2994088</v>
      </c>
      <c r="BU8" s="114">
        <f>SUM(C8+F8+G8+K8+L8+N8+P8+Q8+S8+Z8+AK8+AL8+AU8)</f>
        <v>6603601</v>
      </c>
      <c r="BV8" s="114">
        <f>SUM(B8+E8+H8+I8+J8+M8+O8+R8+U8+V8+Y8+AC8+AD8+AH8+AJ8+AM8+AN8+AP8+AW8+AX8+AZ8+BB8+BF8+BM8)</f>
        <v>8635787.9</v>
      </c>
      <c r="BW8" s="114">
        <f aca="true" t="shared" si="4" ref="BW8:BW65">SUM(BT8:BV8)</f>
        <v>18233476.9</v>
      </c>
      <c r="BX8" s="114">
        <f>SUM(T8+X8+AF8+AI8+AR8+AT8+AY8+BA8+BH8+BI8)</f>
        <v>1504742</v>
      </c>
      <c r="BY8" s="114"/>
      <c r="BZ8" s="114">
        <f aca="true" t="shared" si="5" ref="BZ8:BZ65">SUM(BW8:BX8)</f>
        <v>19738218.9</v>
      </c>
      <c r="CA8" s="13"/>
      <c r="CB8" s="13"/>
    </row>
    <row r="9" spans="1:80" ht="12.75">
      <c r="A9" s="176" t="s">
        <v>434</v>
      </c>
      <c r="B9" s="10">
        <v>1633832</v>
      </c>
      <c r="C9" s="10">
        <v>703042</v>
      </c>
      <c r="D9" s="10">
        <v>1547441</v>
      </c>
      <c r="E9" s="10">
        <v>1853961</v>
      </c>
      <c r="F9" s="10">
        <v>541959</v>
      </c>
      <c r="G9" s="10">
        <v>1544261</v>
      </c>
      <c r="H9" s="10">
        <v>1380827</v>
      </c>
      <c r="I9" s="10">
        <v>622726</v>
      </c>
      <c r="J9" s="10">
        <v>119879</v>
      </c>
      <c r="K9" s="10">
        <v>557390</v>
      </c>
      <c r="L9" s="10">
        <v>344244</v>
      </c>
      <c r="M9" s="10">
        <v>84400</v>
      </c>
      <c r="N9" s="10">
        <v>429270</v>
      </c>
      <c r="O9" s="10">
        <v>4457.9</v>
      </c>
      <c r="P9" s="10">
        <v>0</v>
      </c>
      <c r="Q9" s="10">
        <v>503289</v>
      </c>
      <c r="R9" s="10">
        <v>0</v>
      </c>
      <c r="S9" s="10">
        <v>55124</v>
      </c>
      <c r="T9" s="10">
        <v>491614</v>
      </c>
      <c r="U9" s="10">
        <v>248784</v>
      </c>
      <c r="V9" s="10">
        <v>846028</v>
      </c>
      <c r="W9" s="10">
        <v>90304</v>
      </c>
      <c r="X9" s="10">
        <v>112</v>
      </c>
      <c r="Y9" s="10">
        <v>0</v>
      </c>
      <c r="Z9" s="10">
        <v>322534</v>
      </c>
      <c r="AA9" s="10">
        <v>61741</v>
      </c>
      <c r="AB9" s="10">
        <v>0</v>
      </c>
      <c r="AC9" s="10">
        <v>119935</v>
      </c>
      <c r="AD9" s="10">
        <v>136557</v>
      </c>
      <c r="AE9" s="10">
        <v>156665</v>
      </c>
      <c r="AF9" s="10">
        <v>183454</v>
      </c>
      <c r="AG9" s="10">
        <v>0</v>
      </c>
      <c r="AH9" s="10">
        <v>0</v>
      </c>
      <c r="AI9" s="10">
        <v>94846</v>
      </c>
      <c r="AJ9" s="10">
        <v>362889</v>
      </c>
      <c r="AK9" s="10">
        <v>14725</v>
      </c>
      <c r="AL9" s="10">
        <v>0</v>
      </c>
      <c r="AM9" s="10">
        <v>97275</v>
      </c>
      <c r="AN9" s="10">
        <v>0</v>
      </c>
      <c r="AO9" s="10">
        <v>10122</v>
      </c>
      <c r="AP9" s="10">
        <v>121758</v>
      </c>
      <c r="AQ9" s="10">
        <v>0</v>
      </c>
      <c r="AR9" s="10">
        <v>112823</v>
      </c>
      <c r="AS9" s="10">
        <v>108784</v>
      </c>
      <c r="AT9" s="10">
        <v>141264</v>
      </c>
      <c r="AU9" s="10">
        <v>14021</v>
      </c>
      <c r="AV9" s="10">
        <v>69461</v>
      </c>
      <c r="AW9" s="10">
        <v>25562</v>
      </c>
      <c r="AX9" s="10">
        <v>39970</v>
      </c>
      <c r="AY9" s="10">
        <v>50237</v>
      </c>
      <c r="AZ9" s="10">
        <v>53383</v>
      </c>
      <c r="BA9" s="10">
        <v>40473</v>
      </c>
      <c r="BB9" s="10">
        <v>0</v>
      </c>
      <c r="BC9" s="10">
        <v>0</v>
      </c>
      <c r="BD9" s="10">
        <v>6352</v>
      </c>
      <c r="BE9" s="10">
        <v>0</v>
      </c>
      <c r="BF9" s="10">
        <v>66653</v>
      </c>
      <c r="BG9" s="10">
        <v>10743</v>
      </c>
      <c r="BH9" s="10">
        <v>2888</v>
      </c>
      <c r="BI9" s="10">
        <v>26828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/>
      <c r="BQ9" s="10"/>
      <c r="BR9" s="10"/>
      <c r="BS9" s="114">
        <f aca="true" t="shared" si="6" ref="BS9:BS61">SUM(A9:BO9)</f>
        <v>16054887.9</v>
      </c>
      <c r="BT9" s="114">
        <f aca="true" t="shared" si="7" ref="BT9:BT68">SUM(D9+W9+AA9+AB9+AE9+AG9+AO9+AQ9+AS9+AV9+BC9+BD9+BE9+BG9+BJ9+BK9+BL9+BN9+BO9)</f>
        <v>2061613</v>
      </c>
      <c r="BU9" s="114">
        <f aca="true" t="shared" si="8" ref="BU9:BU65">SUM(C9+F9+G9+K9+L9+N9+P9+Q9+S9+Z9+AK9+AL9+AU9)</f>
        <v>5029859</v>
      </c>
      <c r="BV9" s="114">
        <f aca="true" t="shared" si="9" ref="BV9:BV68">SUM(B9+E9+H9+I9+J9+M9+O9+R9+U9+V9+Y9+AC9+AD9+AH9+AJ9+AM9+AN9+AP9+AW9+AX9+AZ9+BB9+BF9+BM9)</f>
        <v>7818876.9</v>
      </c>
      <c r="BW9" s="114">
        <f t="shared" si="4"/>
        <v>14910348.9</v>
      </c>
      <c r="BX9" s="114">
        <f aca="true" t="shared" si="10" ref="BX9:BX65">SUM(T9+X9+AF9+AI9+AR9+AT9+AY9+BA9+BH9+BI9)</f>
        <v>1144539</v>
      </c>
      <c r="BY9" s="114"/>
      <c r="BZ9" s="114">
        <f t="shared" si="5"/>
        <v>16054887.9</v>
      </c>
      <c r="CA9" s="23"/>
      <c r="CB9" s="23"/>
    </row>
    <row r="10" spans="1:80" ht="12.75">
      <c r="A10" s="176" t="s">
        <v>435</v>
      </c>
      <c r="B10" s="10">
        <v>0</v>
      </c>
      <c r="C10" s="10">
        <v>120703</v>
      </c>
      <c r="D10" s="10">
        <v>0</v>
      </c>
      <c r="E10" s="10">
        <v>218110</v>
      </c>
      <c r="F10" s="10">
        <v>0</v>
      </c>
      <c r="G10" s="10">
        <v>99127</v>
      </c>
      <c r="H10" s="10">
        <v>0</v>
      </c>
      <c r="I10" s="10">
        <v>0</v>
      </c>
      <c r="J10" s="10">
        <v>0</v>
      </c>
      <c r="K10" s="10">
        <v>692533</v>
      </c>
      <c r="L10" s="10">
        <v>0</v>
      </c>
      <c r="M10" s="10">
        <v>8728</v>
      </c>
      <c r="N10" s="10">
        <v>11508</v>
      </c>
      <c r="O10" s="10">
        <v>75593</v>
      </c>
      <c r="P10" s="10">
        <v>0</v>
      </c>
      <c r="Q10" s="10">
        <v>335302</v>
      </c>
      <c r="R10" s="10">
        <v>0</v>
      </c>
      <c r="S10" s="10">
        <v>0</v>
      </c>
      <c r="T10" s="10">
        <v>0</v>
      </c>
      <c r="U10" s="10">
        <v>0</v>
      </c>
      <c r="V10" s="10">
        <v>120185</v>
      </c>
      <c r="W10" s="10">
        <v>0</v>
      </c>
      <c r="X10" s="10">
        <v>0</v>
      </c>
      <c r="Y10" s="10">
        <v>0</v>
      </c>
      <c r="Z10" s="10">
        <v>25934</v>
      </c>
      <c r="AA10" s="10">
        <v>0</v>
      </c>
      <c r="AB10" s="10">
        <v>0</v>
      </c>
      <c r="AC10" s="10">
        <v>0</v>
      </c>
      <c r="AD10" s="10">
        <v>20058</v>
      </c>
      <c r="AE10" s="10">
        <v>0</v>
      </c>
      <c r="AF10" s="10">
        <v>113559</v>
      </c>
      <c r="AG10" s="10">
        <v>0</v>
      </c>
      <c r="AH10" s="10">
        <v>0</v>
      </c>
      <c r="AI10" s="10">
        <v>100638</v>
      </c>
      <c r="AJ10" s="10">
        <v>47017</v>
      </c>
      <c r="AK10" s="10">
        <v>0</v>
      </c>
      <c r="AL10" s="10">
        <v>0</v>
      </c>
      <c r="AM10" s="10">
        <v>0</v>
      </c>
      <c r="AN10" s="10">
        <v>33185</v>
      </c>
      <c r="AO10" s="10">
        <v>13117</v>
      </c>
      <c r="AP10" s="10">
        <v>33667</v>
      </c>
      <c r="AQ10" s="10">
        <v>0</v>
      </c>
      <c r="AR10" s="10">
        <v>141676</v>
      </c>
      <c r="AS10" s="10">
        <v>4094</v>
      </c>
      <c r="AT10" s="10">
        <v>0</v>
      </c>
      <c r="AU10" s="10">
        <v>0</v>
      </c>
      <c r="AV10" s="10">
        <v>35867</v>
      </c>
      <c r="AW10" s="10">
        <v>73538</v>
      </c>
      <c r="AX10" s="10">
        <v>0</v>
      </c>
      <c r="AY10" s="10">
        <v>4330</v>
      </c>
      <c r="AZ10" s="10">
        <v>0</v>
      </c>
      <c r="BA10" s="10">
        <v>0</v>
      </c>
      <c r="BB10" s="10">
        <v>0</v>
      </c>
      <c r="BC10" s="10">
        <v>0</v>
      </c>
      <c r="BD10" s="10">
        <v>12350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0</v>
      </c>
      <c r="BN10" s="10">
        <v>0</v>
      </c>
      <c r="BO10" s="10">
        <v>0</v>
      </c>
      <c r="BP10" s="10"/>
      <c r="BQ10" s="10"/>
      <c r="BR10" s="10"/>
      <c r="BS10" s="114">
        <f t="shared" si="6"/>
        <v>2340819</v>
      </c>
      <c r="BT10" s="114">
        <f t="shared" si="7"/>
        <v>65428</v>
      </c>
      <c r="BU10" s="114">
        <f t="shared" si="8"/>
        <v>1285107</v>
      </c>
      <c r="BV10" s="114">
        <f t="shared" si="9"/>
        <v>630081</v>
      </c>
      <c r="BW10" s="114">
        <f t="shared" si="4"/>
        <v>1980616</v>
      </c>
      <c r="BX10" s="114">
        <f t="shared" si="10"/>
        <v>360203</v>
      </c>
      <c r="BY10" s="114"/>
      <c r="BZ10" s="114">
        <f t="shared" si="5"/>
        <v>2340819</v>
      </c>
      <c r="CA10" s="23"/>
      <c r="CB10" s="23"/>
    </row>
    <row r="11" spans="1:80" ht="12.75">
      <c r="A11" s="176" t="s">
        <v>454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12162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60330</v>
      </c>
      <c r="O11" s="10">
        <v>0</v>
      </c>
      <c r="P11" s="10">
        <v>0</v>
      </c>
      <c r="Q11" s="10">
        <v>44782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19736</v>
      </c>
      <c r="AP11" s="10">
        <v>6254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8364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/>
      <c r="BQ11" s="10"/>
      <c r="BR11" s="10"/>
      <c r="BS11" s="114">
        <f t="shared" si="6"/>
        <v>151628</v>
      </c>
      <c r="BT11" s="114">
        <f t="shared" si="7"/>
        <v>28100</v>
      </c>
      <c r="BU11" s="114">
        <f t="shared" si="8"/>
        <v>105112</v>
      </c>
      <c r="BV11" s="114">
        <f t="shared" si="9"/>
        <v>18416</v>
      </c>
      <c r="BW11" s="114">
        <f t="shared" si="4"/>
        <v>151628</v>
      </c>
      <c r="BX11" s="114">
        <f t="shared" si="10"/>
        <v>0</v>
      </c>
      <c r="BY11" s="114"/>
      <c r="BZ11" s="114">
        <f t="shared" si="5"/>
        <v>151628</v>
      </c>
      <c r="CA11" s="23"/>
      <c r="CB11" s="23"/>
    </row>
    <row r="12" spans="1:80" ht="12.75">
      <c r="A12" s="176" t="s">
        <v>461</v>
      </c>
      <c r="B12" s="10">
        <v>88967</v>
      </c>
      <c r="C12" s="10">
        <v>0</v>
      </c>
      <c r="D12" s="10">
        <v>692041</v>
      </c>
      <c r="E12" s="10">
        <v>0</v>
      </c>
      <c r="F12" s="10">
        <v>0</v>
      </c>
      <c r="G12" s="10">
        <v>0</v>
      </c>
      <c r="H12" s="10">
        <v>0</v>
      </c>
      <c r="I12" s="10">
        <v>48948</v>
      </c>
      <c r="J12" s="10">
        <v>0</v>
      </c>
      <c r="K12" s="10">
        <v>107080</v>
      </c>
      <c r="L12" s="10">
        <v>76443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26684</v>
      </c>
      <c r="V12" s="10">
        <v>0</v>
      </c>
      <c r="W12" s="10">
        <v>83807</v>
      </c>
      <c r="X12" s="10">
        <v>0</v>
      </c>
      <c r="Y12" s="10">
        <v>0</v>
      </c>
      <c r="Z12" s="10">
        <v>0</v>
      </c>
      <c r="AA12" s="10">
        <v>33522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3815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29577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v>0</v>
      </c>
      <c r="BN12" s="10">
        <v>0</v>
      </c>
      <c r="BO12" s="10">
        <v>0</v>
      </c>
      <c r="BP12" s="10"/>
      <c r="BQ12" s="10"/>
      <c r="BR12" s="10"/>
      <c r="BS12" s="114">
        <f t="shared" si="6"/>
        <v>1190884</v>
      </c>
      <c r="BT12" s="114">
        <f t="shared" si="7"/>
        <v>838947</v>
      </c>
      <c r="BU12" s="114">
        <f t="shared" si="8"/>
        <v>183523</v>
      </c>
      <c r="BV12" s="114">
        <f t="shared" si="9"/>
        <v>168414</v>
      </c>
      <c r="BW12" s="114">
        <f t="shared" si="4"/>
        <v>1190884</v>
      </c>
      <c r="BX12" s="114">
        <f t="shared" si="10"/>
        <v>0</v>
      </c>
      <c r="BY12" s="114"/>
      <c r="BZ12" s="114">
        <f t="shared" si="5"/>
        <v>1190884</v>
      </c>
      <c r="CA12" s="23"/>
      <c r="CB12" s="23"/>
    </row>
    <row r="13" spans="1:80" ht="12.75">
      <c r="A13" s="176" t="s">
        <v>200</v>
      </c>
      <c r="B13" s="10">
        <v>942493</v>
      </c>
      <c r="C13" s="10">
        <v>2913497</v>
      </c>
      <c r="D13" s="10">
        <v>1062688</v>
      </c>
      <c r="E13" s="10">
        <v>1077807</v>
      </c>
      <c r="F13" s="10">
        <v>682218</v>
      </c>
      <c r="G13" s="10">
        <v>517927</v>
      </c>
      <c r="H13" s="10">
        <v>918820</v>
      </c>
      <c r="I13" s="10">
        <v>0</v>
      </c>
      <c r="J13" s="10">
        <v>174642</v>
      </c>
      <c r="K13" s="10">
        <v>291033</v>
      </c>
      <c r="L13" s="10">
        <v>214655</v>
      </c>
      <c r="M13" s="10">
        <v>539305</v>
      </c>
      <c r="N13" s="10">
        <v>863529</v>
      </c>
      <c r="O13" s="10">
        <v>459804.2</v>
      </c>
      <c r="P13" s="10">
        <v>401870</v>
      </c>
      <c r="Q13" s="10">
        <v>604098</v>
      </c>
      <c r="R13" s="10">
        <v>249760</v>
      </c>
      <c r="S13" s="10">
        <v>500922</v>
      </c>
      <c r="T13" s="10">
        <v>509351</v>
      </c>
      <c r="U13" s="10">
        <v>202467</v>
      </c>
      <c r="V13" s="10">
        <v>165612</v>
      </c>
      <c r="W13" s="10">
        <v>230494</v>
      </c>
      <c r="X13" s="10">
        <v>180440</v>
      </c>
      <c r="Y13" s="10">
        <v>269921</v>
      </c>
      <c r="Z13" s="10">
        <v>132199</v>
      </c>
      <c r="AA13" s="10">
        <v>438493</v>
      </c>
      <c r="AB13" s="10">
        <v>0</v>
      </c>
      <c r="AC13" s="10">
        <v>21342</v>
      </c>
      <c r="AD13" s="10">
        <v>35903</v>
      </c>
      <c r="AE13" s="10">
        <v>19587</v>
      </c>
      <c r="AF13" s="10">
        <v>4713</v>
      </c>
      <c r="AG13" s="10">
        <v>12940</v>
      </c>
      <c r="AH13" s="10">
        <v>0</v>
      </c>
      <c r="AI13" s="10">
        <v>38798</v>
      </c>
      <c r="AJ13" s="10">
        <v>0</v>
      </c>
      <c r="AK13" s="10">
        <v>0</v>
      </c>
      <c r="AL13" s="10">
        <v>0</v>
      </c>
      <c r="AM13" s="10">
        <v>0</v>
      </c>
      <c r="AN13" s="10">
        <v>93621</v>
      </c>
      <c r="AO13" s="10">
        <v>62935</v>
      </c>
      <c r="AP13" s="10">
        <v>6594</v>
      </c>
      <c r="AQ13" s="10">
        <v>44287</v>
      </c>
      <c r="AR13" s="10">
        <v>0</v>
      </c>
      <c r="AS13" s="10">
        <v>75055</v>
      </c>
      <c r="AT13" s="10">
        <v>82250</v>
      </c>
      <c r="AU13" s="10">
        <v>35126</v>
      </c>
      <c r="AV13" s="10">
        <v>51487</v>
      </c>
      <c r="AW13" s="10">
        <v>116786</v>
      </c>
      <c r="AX13" s="10">
        <v>16808</v>
      </c>
      <c r="AY13" s="10">
        <v>0</v>
      </c>
      <c r="AZ13" s="10">
        <v>5323</v>
      </c>
      <c r="BA13" s="10">
        <v>35996</v>
      </c>
      <c r="BB13" s="10">
        <v>0</v>
      </c>
      <c r="BC13" s="10">
        <v>10088</v>
      </c>
      <c r="BD13" s="10">
        <v>101737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">
        <v>0</v>
      </c>
      <c r="BP13" s="10"/>
      <c r="BQ13" s="10"/>
      <c r="BR13" s="10"/>
      <c r="BS13" s="114">
        <f t="shared" si="6"/>
        <v>15415421.2</v>
      </c>
      <c r="BT13" s="114">
        <f t="shared" si="7"/>
        <v>2109791</v>
      </c>
      <c r="BU13" s="114">
        <f t="shared" si="8"/>
        <v>7157074</v>
      </c>
      <c r="BV13" s="114">
        <f t="shared" si="9"/>
        <v>5297008.2</v>
      </c>
      <c r="BW13" s="114">
        <f t="shared" si="4"/>
        <v>14563873.2</v>
      </c>
      <c r="BX13" s="114">
        <f t="shared" si="10"/>
        <v>851548</v>
      </c>
      <c r="BY13" s="114"/>
      <c r="BZ13" s="114">
        <f t="shared" si="5"/>
        <v>15415421.2</v>
      </c>
      <c r="CA13" s="23"/>
      <c r="CB13" s="23"/>
    </row>
    <row r="14" spans="1:80" ht="12.75">
      <c r="A14" s="176" t="s">
        <v>194</v>
      </c>
      <c r="B14" s="10">
        <v>7621142</v>
      </c>
      <c r="C14" s="10">
        <v>1817549</v>
      </c>
      <c r="D14" s="10">
        <v>1424114</v>
      </c>
      <c r="E14" s="10">
        <v>3493415</v>
      </c>
      <c r="F14" s="10">
        <v>956296</v>
      </c>
      <c r="G14" s="10">
        <v>868353</v>
      </c>
      <c r="H14" s="10">
        <v>851804</v>
      </c>
      <c r="I14" s="10">
        <v>3111821</v>
      </c>
      <c r="J14" s="10">
        <v>654780</v>
      </c>
      <c r="K14" s="10">
        <v>752150</v>
      </c>
      <c r="L14" s="10">
        <v>865521</v>
      </c>
      <c r="M14" s="10">
        <v>633626</v>
      </c>
      <c r="N14" s="10">
        <v>1903237</v>
      </c>
      <c r="O14" s="10">
        <v>299935.9</v>
      </c>
      <c r="P14" s="10">
        <v>837738</v>
      </c>
      <c r="Q14" s="10">
        <v>907827</v>
      </c>
      <c r="R14" s="10">
        <v>57022</v>
      </c>
      <c r="S14" s="10">
        <v>782536</v>
      </c>
      <c r="T14" s="10">
        <v>462422</v>
      </c>
      <c r="U14" s="10">
        <v>1675649</v>
      </c>
      <c r="V14" s="10">
        <v>688576</v>
      </c>
      <c r="W14" s="10">
        <v>213113</v>
      </c>
      <c r="X14" s="10">
        <v>174053</v>
      </c>
      <c r="Y14" s="10">
        <v>154094</v>
      </c>
      <c r="Z14" s="10">
        <v>249698</v>
      </c>
      <c r="AA14" s="10">
        <v>309314</v>
      </c>
      <c r="AB14" s="10">
        <v>0</v>
      </c>
      <c r="AC14" s="10">
        <v>68395</v>
      </c>
      <c r="AD14" s="10">
        <v>192733</v>
      </c>
      <c r="AE14" s="10">
        <v>188114</v>
      </c>
      <c r="AF14" s="10">
        <v>38853</v>
      </c>
      <c r="AG14" s="10">
        <v>10561</v>
      </c>
      <c r="AH14" s="10">
        <v>0</v>
      </c>
      <c r="AI14" s="10">
        <v>158897</v>
      </c>
      <c r="AJ14" s="10">
        <v>61843</v>
      </c>
      <c r="AK14" s="10">
        <v>51801</v>
      </c>
      <c r="AL14" s="10">
        <v>0</v>
      </c>
      <c r="AM14" s="10">
        <v>199715</v>
      </c>
      <c r="AN14" s="10">
        <v>109600</v>
      </c>
      <c r="AO14" s="10">
        <v>0</v>
      </c>
      <c r="AP14" s="10">
        <v>72008</v>
      </c>
      <c r="AQ14" s="10">
        <v>21083</v>
      </c>
      <c r="AR14" s="10">
        <v>39118</v>
      </c>
      <c r="AS14" s="10">
        <v>97826</v>
      </c>
      <c r="AT14" s="10">
        <v>98991</v>
      </c>
      <c r="AU14" s="10">
        <v>123129</v>
      </c>
      <c r="AV14" s="10">
        <v>118578</v>
      </c>
      <c r="AW14" s="10">
        <v>88497</v>
      </c>
      <c r="AX14" s="10">
        <v>158644</v>
      </c>
      <c r="AY14" s="10">
        <v>58839</v>
      </c>
      <c r="AZ14" s="10">
        <v>14198</v>
      </c>
      <c r="BA14" s="10">
        <v>27580</v>
      </c>
      <c r="BB14" s="10">
        <v>152566</v>
      </c>
      <c r="BC14" s="10">
        <v>92109</v>
      </c>
      <c r="BD14" s="10">
        <v>20606</v>
      </c>
      <c r="BE14" s="10">
        <v>0</v>
      </c>
      <c r="BF14" s="10">
        <v>0</v>
      </c>
      <c r="BG14" s="10">
        <v>9429</v>
      </c>
      <c r="BH14" s="10">
        <v>25447</v>
      </c>
      <c r="BI14" s="10">
        <v>0</v>
      </c>
      <c r="BJ14" s="10">
        <v>25213</v>
      </c>
      <c r="BK14" s="10">
        <v>0</v>
      </c>
      <c r="BL14" s="10">
        <v>33908</v>
      </c>
      <c r="BM14" s="10">
        <v>0</v>
      </c>
      <c r="BN14" s="10">
        <v>0</v>
      </c>
      <c r="BO14" s="10">
        <v>0</v>
      </c>
      <c r="BP14" s="10"/>
      <c r="BQ14" s="10"/>
      <c r="BR14" s="10"/>
      <c r="BS14" s="114">
        <f t="shared" si="6"/>
        <v>34124066.9</v>
      </c>
      <c r="BT14" s="114">
        <f t="shared" si="7"/>
        <v>2563968</v>
      </c>
      <c r="BU14" s="114">
        <f t="shared" si="8"/>
        <v>10115835</v>
      </c>
      <c r="BV14" s="114">
        <f t="shared" si="9"/>
        <v>20360063.9</v>
      </c>
      <c r="BW14" s="114">
        <f t="shared" si="4"/>
        <v>33039866.9</v>
      </c>
      <c r="BX14" s="114">
        <f t="shared" si="10"/>
        <v>1084200</v>
      </c>
      <c r="BY14" s="114"/>
      <c r="BZ14" s="114">
        <f t="shared" si="5"/>
        <v>34124066.9</v>
      </c>
      <c r="CA14" s="23"/>
      <c r="CB14" s="23"/>
    </row>
    <row r="15" spans="1:80" ht="12.75">
      <c r="A15" s="176" t="s">
        <v>195</v>
      </c>
      <c r="B15" s="10">
        <v>17373860</v>
      </c>
      <c r="C15" s="10">
        <v>10068267</v>
      </c>
      <c r="D15" s="10">
        <v>6625699</v>
      </c>
      <c r="E15" s="10">
        <v>13597256</v>
      </c>
      <c r="F15" s="10">
        <v>6520555</v>
      </c>
      <c r="G15" s="10">
        <v>2820229</v>
      </c>
      <c r="H15" s="10">
        <v>6774039</v>
      </c>
      <c r="I15" s="10">
        <v>1837401</v>
      </c>
      <c r="J15" s="10">
        <v>1370963</v>
      </c>
      <c r="K15" s="10">
        <v>2112624</v>
      </c>
      <c r="L15" s="10">
        <v>1377447</v>
      </c>
      <c r="M15" s="10">
        <v>922403</v>
      </c>
      <c r="N15" s="10">
        <v>2084961</v>
      </c>
      <c r="O15" s="10">
        <v>1476406.3</v>
      </c>
      <c r="P15" s="10">
        <v>772768</v>
      </c>
      <c r="Q15" s="10">
        <v>1351343</v>
      </c>
      <c r="R15" s="10">
        <v>34748</v>
      </c>
      <c r="S15" s="10">
        <v>1449221</v>
      </c>
      <c r="T15" s="10">
        <v>1727710</v>
      </c>
      <c r="U15" s="10">
        <v>698205</v>
      </c>
      <c r="V15" s="10">
        <v>1807743</v>
      </c>
      <c r="W15" s="10">
        <v>1563073</v>
      </c>
      <c r="X15" s="10">
        <v>42715</v>
      </c>
      <c r="Y15" s="10">
        <v>58946</v>
      </c>
      <c r="Z15" s="10">
        <v>713424</v>
      </c>
      <c r="AA15" s="10">
        <v>829871</v>
      </c>
      <c r="AB15" s="10">
        <v>11299</v>
      </c>
      <c r="AC15" s="10">
        <v>237097</v>
      </c>
      <c r="AD15" s="10">
        <v>492359</v>
      </c>
      <c r="AE15" s="10">
        <v>525612</v>
      </c>
      <c r="AF15" s="10">
        <v>467664</v>
      </c>
      <c r="AG15" s="10">
        <v>27028</v>
      </c>
      <c r="AH15" s="10">
        <v>0</v>
      </c>
      <c r="AI15" s="10">
        <v>263578</v>
      </c>
      <c r="AJ15" s="10">
        <v>348089</v>
      </c>
      <c r="AK15" s="10">
        <v>361418</v>
      </c>
      <c r="AL15" s="10">
        <v>20344</v>
      </c>
      <c r="AM15" s="10">
        <v>257496</v>
      </c>
      <c r="AN15" s="10">
        <v>131361</v>
      </c>
      <c r="AO15" s="10">
        <v>140390</v>
      </c>
      <c r="AP15" s="10">
        <v>271077</v>
      </c>
      <c r="AQ15" s="10">
        <f>138719+11022</f>
        <v>149741</v>
      </c>
      <c r="AR15" s="10">
        <v>239687</v>
      </c>
      <c r="AS15" s="10">
        <v>116619</v>
      </c>
      <c r="AT15" s="10">
        <v>148725</v>
      </c>
      <c r="AU15" s="10">
        <v>278878</v>
      </c>
      <c r="AV15" s="10">
        <v>81238</v>
      </c>
      <c r="AW15" s="10">
        <v>75682</v>
      </c>
      <c r="AX15" s="10">
        <v>289652</v>
      </c>
      <c r="AY15" s="10">
        <v>136030</v>
      </c>
      <c r="AZ15" s="10">
        <v>203148</v>
      </c>
      <c r="BA15" s="10">
        <v>52297</v>
      </c>
      <c r="BB15" s="10">
        <v>190899</v>
      </c>
      <c r="BC15" s="10">
        <v>68317</v>
      </c>
      <c r="BD15" s="10">
        <v>68008</v>
      </c>
      <c r="BE15" s="10">
        <v>0</v>
      </c>
      <c r="BF15" s="10">
        <v>23979</v>
      </c>
      <c r="BG15" s="10">
        <v>23974</v>
      </c>
      <c r="BH15" s="10">
        <v>30592</v>
      </c>
      <c r="BI15" s="10">
        <v>0</v>
      </c>
      <c r="BJ15" s="10">
        <v>11047</v>
      </c>
      <c r="BK15" s="10">
        <v>0</v>
      </c>
      <c r="BL15" s="10">
        <v>0</v>
      </c>
      <c r="BM15" s="10">
        <v>10604</v>
      </c>
      <c r="BN15" s="10">
        <v>0</v>
      </c>
      <c r="BO15" s="10">
        <v>0</v>
      </c>
      <c r="BP15" s="10"/>
      <c r="BQ15" s="10"/>
      <c r="BR15" s="10"/>
      <c r="BS15" s="114">
        <f t="shared" si="6"/>
        <v>91765806.3</v>
      </c>
      <c r="BT15" s="114">
        <f t="shared" si="7"/>
        <v>10241916</v>
      </c>
      <c r="BU15" s="114">
        <f t="shared" si="8"/>
        <v>29931479</v>
      </c>
      <c r="BV15" s="114">
        <f t="shared" si="9"/>
        <v>48483413.3</v>
      </c>
      <c r="BW15" s="114">
        <f t="shared" si="4"/>
        <v>88656808.3</v>
      </c>
      <c r="BX15" s="114">
        <f t="shared" si="10"/>
        <v>3108998</v>
      </c>
      <c r="BY15" s="114"/>
      <c r="BZ15" s="114">
        <f t="shared" si="5"/>
        <v>91765806.3</v>
      </c>
      <c r="CA15" s="7"/>
      <c r="CB15" s="7"/>
    </row>
    <row r="16" spans="1:80" ht="12.75">
      <c r="A16" s="176" t="s">
        <v>196</v>
      </c>
      <c r="B16" s="10">
        <v>13152337</v>
      </c>
      <c r="C16" s="10">
        <v>6685083</v>
      </c>
      <c r="D16" s="10">
        <v>6625699</v>
      </c>
      <c r="E16" s="10">
        <v>10479919</v>
      </c>
      <c r="F16" s="10">
        <v>4631916</v>
      </c>
      <c r="G16" s="10">
        <v>1721108</v>
      </c>
      <c r="H16" s="10">
        <v>5242944</v>
      </c>
      <c r="I16" s="10">
        <v>866398</v>
      </c>
      <c r="J16" s="10">
        <v>1055760</v>
      </c>
      <c r="K16" s="10">
        <v>1549319</v>
      </c>
      <c r="L16" s="10">
        <v>278976</v>
      </c>
      <c r="M16" s="10">
        <v>272555</v>
      </c>
      <c r="N16" s="10">
        <v>1139908</v>
      </c>
      <c r="O16" s="10">
        <v>1135996.7</v>
      </c>
      <c r="P16" s="10">
        <v>4315</v>
      </c>
      <c r="Q16" s="10">
        <v>1022783</v>
      </c>
      <c r="R16" s="10">
        <v>18279</v>
      </c>
      <c r="S16" s="10">
        <v>1068913</v>
      </c>
      <c r="T16" s="10">
        <v>1466341</v>
      </c>
      <c r="U16" s="10">
        <v>698205</v>
      </c>
      <c r="V16" s="10">
        <v>1622506</v>
      </c>
      <c r="W16" s="10">
        <v>1563073</v>
      </c>
      <c r="X16" s="10">
        <v>177</v>
      </c>
      <c r="Y16" s="10">
        <v>0</v>
      </c>
      <c r="Z16" s="10">
        <v>314297</v>
      </c>
      <c r="AA16" s="10">
        <v>829871</v>
      </c>
      <c r="AB16" s="10">
        <v>11299</v>
      </c>
      <c r="AC16" s="10">
        <v>193208</v>
      </c>
      <c r="AD16" s="10">
        <v>337447</v>
      </c>
      <c r="AE16" s="10">
        <v>427951</v>
      </c>
      <c r="AF16" s="10">
        <v>445253</v>
      </c>
      <c r="AG16" s="10">
        <v>0</v>
      </c>
      <c r="AH16" s="10">
        <v>0</v>
      </c>
      <c r="AI16" s="10">
        <v>76939</v>
      </c>
      <c r="AJ16" s="10">
        <v>320488</v>
      </c>
      <c r="AK16" s="10">
        <v>244885</v>
      </c>
      <c r="AL16" s="10">
        <v>20344</v>
      </c>
      <c r="AM16" s="10">
        <v>175539</v>
      </c>
      <c r="AN16" s="10">
        <v>6740</v>
      </c>
      <c r="AO16" s="10">
        <v>140390</v>
      </c>
      <c r="AP16" s="10">
        <v>210077</v>
      </c>
      <c r="AQ16" s="10">
        <f>115519+11022</f>
        <v>126541</v>
      </c>
      <c r="AR16" s="10">
        <v>235082</v>
      </c>
      <c r="AS16" s="10">
        <v>106040</v>
      </c>
      <c r="AT16" s="10">
        <v>71240</v>
      </c>
      <c r="AU16" s="10">
        <v>214397</v>
      </c>
      <c r="AV16" s="10">
        <v>63488</v>
      </c>
      <c r="AW16" s="10">
        <v>27629</v>
      </c>
      <c r="AX16" s="10">
        <v>137264</v>
      </c>
      <c r="AY16" s="10">
        <v>86033</v>
      </c>
      <c r="AZ16" s="10">
        <v>107599</v>
      </c>
      <c r="BA16" s="10">
        <v>20975</v>
      </c>
      <c r="BB16" s="10">
        <v>111147</v>
      </c>
      <c r="BC16" s="10">
        <v>52529</v>
      </c>
      <c r="BD16" s="10">
        <v>21610</v>
      </c>
      <c r="BE16" s="10">
        <v>0</v>
      </c>
      <c r="BF16" s="10">
        <v>20006</v>
      </c>
      <c r="BG16" s="10">
        <v>17828</v>
      </c>
      <c r="BH16" s="10">
        <v>28320</v>
      </c>
      <c r="BI16" s="10">
        <v>0</v>
      </c>
      <c r="BJ16" s="10">
        <v>11047</v>
      </c>
      <c r="BK16" s="10">
        <v>0</v>
      </c>
      <c r="BL16" s="10">
        <v>0</v>
      </c>
      <c r="BM16" s="10">
        <v>10604</v>
      </c>
      <c r="BN16" s="10">
        <v>0</v>
      </c>
      <c r="BO16" s="10">
        <v>0</v>
      </c>
      <c r="BP16" s="10"/>
      <c r="BQ16" s="10"/>
      <c r="BR16" s="10"/>
      <c r="BS16" s="114">
        <f t="shared" si="6"/>
        <v>67526617.7</v>
      </c>
      <c r="BT16" s="114">
        <f t="shared" si="7"/>
        <v>9997366</v>
      </c>
      <c r="BU16" s="114">
        <f t="shared" si="8"/>
        <v>18896244</v>
      </c>
      <c r="BV16" s="114">
        <f t="shared" si="9"/>
        <v>36202647.7</v>
      </c>
      <c r="BW16" s="114">
        <f t="shared" si="4"/>
        <v>65096257.7</v>
      </c>
      <c r="BX16" s="114">
        <f t="shared" si="10"/>
        <v>2430360</v>
      </c>
      <c r="BY16" s="114"/>
      <c r="BZ16" s="114">
        <f t="shared" si="5"/>
        <v>67526617.7</v>
      </c>
      <c r="CA16" s="23"/>
      <c r="CB16" s="23"/>
    </row>
    <row r="17" spans="1:80" ht="12.75">
      <c r="A17" s="176" t="s">
        <v>197</v>
      </c>
      <c r="B17" s="10">
        <v>3054689</v>
      </c>
      <c r="C17" s="10">
        <v>2208497</v>
      </c>
      <c r="D17" s="10">
        <v>0</v>
      </c>
      <c r="E17" s="10">
        <v>1686702</v>
      </c>
      <c r="F17" s="10">
        <v>375176</v>
      </c>
      <c r="G17" s="10">
        <v>975600</v>
      </c>
      <c r="H17" s="10">
        <v>567404</v>
      </c>
      <c r="I17" s="10">
        <v>952971</v>
      </c>
      <c r="J17" s="10">
        <v>315203</v>
      </c>
      <c r="K17" s="10">
        <v>563305</v>
      </c>
      <c r="L17" s="10">
        <v>462200</v>
      </c>
      <c r="M17" s="10">
        <v>339115</v>
      </c>
      <c r="N17" s="10">
        <v>678900</v>
      </c>
      <c r="O17" s="10">
        <v>39298.2</v>
      </c>
      <c r="P17" s="10">
        <v>511999</v>
      </c>
      <c r="Q17" s="10">
        <v>238408</v>
      </c>
      <c r="R17" s="10">
        <v>16469</v>
      </c>
      <c r="S17" s="10">
        <v>80964</v>
      </c>
      <c r="T17" s="10">
        <v>261369</v>
      </c>
      <c r="U17" s="10">
        <v>0</v>
      </c>
      <c r="V17" s="10">
        <v>28040</v>
      </c>
      <c r="W17" s="10">
        <v>0</v>
      </c>
      <c r="X17" s="10">
        <v>4128</v>
      </c>
      <c r="Y17" s="10">
        <v>0</v>
      </c>
      <c r="Z17" s="10">
        <v>269376</v>
      </c>
      <c r="AA17" s="10">
        <v>0</v>
      </c>
      <c r="AB17" s="10">
        <v>0</v>
      </c>
      <c r="AC17" s="10">
        <v>0</v>
      </c>
      <c r="AD17" s="10">
        <v>98122</v>
      </c>
      <c r="AE17" s="10">
        <v>27711</v>
      </c>
      <c r="AF17" s="10">
        <v>0</v>
      </c>
      <c r="AG17" s="10">
        <v>0</v>
      </c>
      <c r="AH17" s="10">
        <v>0</v>
      </c>
      <c r="AI17" s="10">
        <v>118680</v>
      </c>
      <c r="AJ17" s="10">
        <v>3593</v>
      </c>
      <c r="AK17" s="10">
        <v>69353</v>
      </c>
      <c r="AL17" s="10">
        <v>0</v>
      </c>
      <c r="AM17" s="10">
        <v>29198</v>
      </c>
      <c r="AN17" s="10">
        <v>84349</v>
      </c>
      <c r="AO17" s="10">
        <v>0</v>
      </c>
      <c r="AP17" s="10">
        <v>51152</v>
      </c>
      <c r="AQ17" s="10">
        <v>23200</v>
      </c>
      <c r="AR17" s="10">
        <v>0</v>
      </c>
      <c r="AS17" s="10">
        <v>10580</v>
      </c>
      <c r="AT17" s="10">
        <v>54018</v>
      </c>
      <c r="AU17" s="10">
        <v>12658</v>
      </c>
      <c r="AV17" s="10">
        <v>17750</v>
      </c>
      <c r="AW17" s="10">
        <v>0</v>
      </c>
      <c r="AX17" s="10">
        <v>62158</v>
      </c>
      <c r="AY17" s="10">
        <v>15822</v>
      </c>
      <c r="AZ17" s="10">
        <v>84050</v>
      </c>
      <c r="BA17" s="10">
        <v>0</v>
      </c>
      <c r="BB17" s="10">
        <v>66196</v>
      </c>
      <c r="BC17" s="10">
        <v>15788</v>
      </c>
      <c r="BD17" s="10">
        <v>46398</v>
      </c>
      <c r="BE17" s="10">
        <v>0</v>
      </c>
      <c r="BF17" s="10">
        <v>3973</v>
      </c>
      <c r="BG17" s="10"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v>0</v>
      </c>
      <c r="BN17" s="10">
        <v>0</v>
      </c>
      <c r="BO17" s="10">
        <v>0</v>
      </c>
      <c r="BP17" s="10"/>
      <c r="BQ17" s="10"/>
      <c r="BR17" s="10"/>
      <c r="BS17" s="114">
        <f t="shared" si="6"/>
        <v>14524562.2</v>
      </c>
      <c r="BT17" s="114">
        <f t="shared" si="7"/>
        <v>141427</v>
      </c>
      <c r="BU17" s="114">
        <f t="shared" si="8"/>
        <v>6446436</v>
      </c>
      <c r="BV17" s="114">
        <f t="shared" si="9"/>
        <v>7482682.2</v>
      </c>
      <c r="BW17" s="114">
        <f t="shared" si="4"/>
        <v>14070545.2</v>
      </c>
      <c r="BX17" s="114">
        <f t="shared" si="10"/>
        <v>454017</v>
      </c>
      <c r="BY17" s="114"/>
      <c r="BZ17" s="114">
        <f t="shared" si="5"/>
        <v>14524562.2</v>
      </c>
      <c r="CA17" s="23"/>
      <c r="CB17" s="23"/>
    </row>
    <row r="18" spans="1:80" ht="12.75">
      <c r="A18" s="176" t="s">
        <v>198</v>
      </c>
      <c r="B18" s="10">
        <v>1165617</v>
      </c>
      <c r="C18" s="10">
        <v>434015</v>
      </c>
      <c r="D18" s="10">
        <v>0</v>
      </c>
      <c r="E18" s="10">
        <v>157061</v>
      </c>
      <c r="F18" s="10">
        <v>689387</v>
      </c>
      <c r="G18" s="10">
        <v>31926</v>
      </c>
      <c r="H18" s="10">
        <v>265590</v>
      </c>
      <c r="I18" s="10">
        <v>0</v>
      </c>
      <c r="J18" s="10">
        <v>323504</v>
      </c>
      <c r="K18" s="10">
        <v>0</v>
      </c>
      <c r="L18" s="10">
        <v>0</v>
      </c>
      <c r="M18" s="10">
        <v>116929</v>
      </c>
      <c r="N18" s="10">
        <v>0</v>
      </c>
      <c r="O18" s="10">
        <v>105450.1</v>
      </c>
      <c r="P18" s="10">
        <v>128267</v>
      </c>
      <c r="Q18" s="10">
        <v>266049</v>
      </c>
      <c r="R18" s="10">
        <v>0</v>
      </c>
      <c r="S18" s="10">
        <v>181762</v>
      </c>
      <c r="T18" s="10">
        <v>109062</v>
      </c>
      <c r="U18" s="10">
        <v>391817</v>
      </c>
      <c r="V18" s="10">
        <v>0</v>
      </c>
      <c r="W18" s="10">
        <v>0</v>
      </c>
      <c r="X18" s="10">
        <v>63135</v>
      </c>
      <c r="Y18" s="10">
        <v>12116</v>
      </c>
      <c r="Z18" s="10">
        <v>22808</v>
      </c>
      <c r="AA18" s="10">
        <v>0</v>
      </c>
      <c r="AB18" s="10">
        <v>0</v>
      </c>
      <c r="AC18" s="10">
        <v>8589</v>
      </c>
      <c r="AD18" s="10">
        <v>0</v>
      </c>
      <c r="AE18" s="10">
        <v>33667</v>
      </c>
      <c r="AF18" s="10">
        <v>31168</v>
      </c>
      <c r="AG18" s="10">
        <v>0</v>
      </c>
      <c r="AH18" s="10">
        <v>0</v>
      </c>
      <c r="AI18" s="10">
        <v>764</v>
      </c>
      <c r="AJ18" s="10">
        <v>16333</v>
      </c>
      <c r="AK18" s="10">
        <v>28399</v>
      </c>
      <c r="AL18" s="10">
        <v>0</v>
      </c>
      <c r="AM18" s="10">
        <v>21118</v>
      </c>
      <c r="AN18" s="10">
        <v>0</v>
      </c>
      <c r="AO18" s="10">
        <v>0</v>
      </c>
      <c r="AP18" s="10">
        <v>21712</v>
      </c>
      <c r="AQ18" s="10">
        <v>4633</v>
      </c>
      <c r="AR18" s="10">
        <v>0</v>
      </c>
      <c r="AS18" s="10">
        <v>0</v>
      </c>
      <c r="AT18" s="10">
        <v>15966</v>
      </c>
      <c r="AU18" s="10">
        <v>34083</v>
      </c>
      <c r="AV18" s="10">
        <v>0</v>
      </c>
      <c r="AW18" s="10">
        <v>8285</v>
      </c>
      <c r="AX18" s="10">
        <v>0</v>
      </c>
      <c r="AY18" s="10">
        <v>13412</v>
      </c>
      <c r="AZ18" s="10">
        <v>2175</v>
      </c>
      <c r="BA18" s="10">
        <v>4960</v>
      </c>
      <c r="BB18" s="10">
        <v>15635</v>
      </c>
      <c r="BC18" s="10">
        <v>0</v>
      </c>
      <c r="BD18" s="10">
        <v>0</v>
      </c>
      <c r="BE18" s="10">
        <v>0</v>
      </c>
      <c r="BF18" s="10">
        <v>0</v>
      </c>
      <c r="BG18" s="10">
        <v>10340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v>0</v>
      </c>
      <c r="BN18" s="10">
        <v>0</v>
      </c>
      <c r="BO18" s="10">
        <v>0</v>
      </c>
      <c r="BP18" s="10"/>
      <c r="BQ18" s="10"/>
      <c r="BR18" s="10"/>
      <c r="BS18" s="114">
        <f t="shared" si="6"/>
        <v>4735734.1</v>
      </c>
      <c r="BT18" s="114">
        <f t="shared" si="7"/>
        <v>48640</v>
      </c>
      <c r="BU18" s="114">
        <f t="shared" si="8"/>
        <v>1816696</v>
      </c>
      <c r="BV18" s="114">
        <f t="shared" si="9"/>
        <v>2631931.1</v>
      </c>
      <c r="BW18" s="114">
        <f t="shared" si="4"/>
        <v>4497267.1</v>
      </c>
      <c r="BX18" s="114">
        <f t="shared" si="10"/>
        <v>238467</v>
      </c>
      <c r="BY18" s="114"/>
      <c r="BZ18" s="114">
        <f t="shared" si="5"/>
        <v>4735734.1</v>
      </c>
      <c r="CA18" s="23"/>
      <c r="CB18" s="23"/>
    </row>
    <row r="19" spans="1:80" ht="12.75">
      <c r="A19" s="176" t="s">
        <v>199</v>
      </c>
      <c r="B19" s="10">
        <v>2219281</v>
      </c>
      <c r="C19" s="10">
        <v>1430097</v>
      </c>
      <c r="D19" s="10">
        <v>191160</v>
      </c>
      <c r="E19" s="10">
        <v>628760</v>
      </c>
      <c r="F19" s="10">
        <v>0</v>
      </c>
      <c r="G19" s="10">
        <v>958720</v>
      </c>
      <c r="H19" s="10">
        <v>320664</v>
      </c>
      <c r="I19" s="10">
        <v>54698</v>
      </c>
      <c r="J19" s="10">
        <v>809625</v>
      </c>
      <c r="K19" s="10">
        <v>190207</v>
      </c>
      <c r="L19" s="10">
        <v>1379280</v>
      </c>
      <c r="M19" s="10">
        <v>250225</v>
      </c>
      <c r="N19" s="10">
        <v>810323</v>
      </c>
      <c r="O19" s="10">
        <v>455677</v>
      </c>
      <c r="P19" s="10">
        <v>364577</v>
      </c>
      <c r="Q19" s="10">
        <v>51152</v>
      </c>
      <c r="R19" s="10">
        <v>319423</v>
      </c>
      <c r="S19" s="10">
        <f>276030+16594</f>
        <v>292624</v>
      </c>
      <c r="T19" s="10">
        <v>637209</v>
      </c>
      <c r="U19" s="10">
        <v>114493</v>
      </c>
      <c r="V19" s="10">
        <v>202939</v>
      </c>
      <c r="W19" s="10">
        <v>35443</v>
      </c>
      <c r="X19" s="10">
        <v>14183</v>
      </c>
      <c r="Y19" s="10">
        <v>90248</v>
      </c>
      <c r="Z19" s="10">
        <v>291599</v>
      </c>
      <c r="AA19" s="10">
        <v>127629</v>
      </c>
      <c r="AB19" s="10">
        <v>0</v>
      </c>
      <c r="AC19" s="10">
        <v>338412</v>
      </c>
      <c r="AD19" s="10">
        <v>65786</v>
      </c>
      <c r="AE19" s="10">
        <v>234580</v>
      </c>
      <c r="AF19" s="10">
        <v>35896</v>
      </c>
      <c r="AG19" s="10">
        <v>5085</v>
      </c>
      <c r="AH19" s="10">
        <v>21612</v>
      </c>
      <c r="AI19" s="10">
        <v>114629</v>
      </c>
      <c r="AJ19" s="10">
        <v>9501</v>
      </c>
      <c r="AK19" s="10">
        <v>39117</v>
      </c>
      <c r="AL19" s="10">
        <v>0</v>
      </c>
      <c r="AM19" s="10">
        <v>53351</v>
      </c>
      <c r="AN19" s="10">
        <v>50216</v>
      </c>
      <c r="AO19" s="10">
        <v>394586</v>
      </c>
      <c r="AP19" s="10">
        <v>131772</v>
      </c>
      <c r="AQ19" s="10">
        <v>179570</v>
      </c>
      <c r="AR19" s="10">
        <v>44717</v>
      </c>
      <c r="AS19" s="10">
        <v>0</v>
      </c>
      <c r="AT19" s="10">
        <v>20827</v>
      </c>
      <c r="AU19" s="10">
        <v>25004</v>
      </c>
      <c r="AV19" s="10">
        <v>0</v>
      </c>
      <c r="AW19" s="10">
        <v>0</v>
      </c>
      <c r="AX19" s="10">
        <v>0</v>
      </c>
      <c r="AY19" s="10">
        <v>83891</v>
      </c>
      <c r="AZ19" s="10">
        <v>0</v>
      </c>
      <c r="BA19" s="10">
        <v>44501</v>
      </c>
      <c r="BB19" s="10">
        <v>0</v>
      </c>
      <c r="BC19" s="10">
        <v>15869</v>
      </c>
      <c r="BD19" s="10">
        <v>0</v>
      </c>
      <c r="BE19" s="10">
        <v>0</v>
      </c>
      <c r="BF19" s="10">
        <v>1046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0">
        <v>0</v>
      </c>
      <c r="BO19" s="10">
        <v>0</v>
      </c>
      <c r="BP19" s="10"/>
      <c r="BQ19" s="10"/>
      <c r="BR19" s="10"/>
      <c r="BS19" s="114">
        <f t="shared" si="6"/>
        <v>14150204</v>
      </c>
      <c r="BT19" s="114">
        <f t="shared" si="7"/>
        <v>1183922</v>
      </c>
      <c r="BU19" s="114">
        <f t="shared" si="8"/>
        <v>5832700</v>
      </c>
      <c r="BV19" s="114">
        <f t="shared" si="9"/>
        <v>6137729</v>
      </c>
      <c r="BW19" s="114">
        <f t="shared" si="4"/>
        <v>13154351</v>
      </c>
      <c r="BX19" s="114">
        <f t="shared" si="10"/>
        <v>995853</v>
      </c>
      <c r="BY19" s="114"/>
      <c r="BZ19" s="114">
        <f t="shared" si="5"/>
        <v>14150204</v>
      </c>
      <c r="CA19" s="23"/>
      <c r="CB19" s="23"/>
    </row>
    <row r="20" spans="1:80" ht="12.75">
      <c r="A20" s="176" t="s">
        <v>436</v>
      </c>
      <c r="B20" s="10">
        <v>0</v>
      </c>
      <c r="C20" s="10">
        <v>302761</v>
      </c>
      <c r="D20" s="10">
        <v>0</v>
      </c>
      <c r="E20" s="10">
        <v>284243</v>
      </c>
      <c r="F20" s="10">
        <v>32247</v>
      </c>
      <c r="G20" s="10">
        <v>673624</v>
      </c>
      <c r="H20" s="10">
        <v>0</v>
      </c>
      <c r="I20" s="10">
        <v>0</v>
      </c>
      <c r="J20" s="10">
        <v>123884</v>
      </c>
      <c r="K20" s="10">
        <v>0</v>
      </c>
      <c r="L20" s="10">
        <v>235421</v>
      </c>
      <c r="M20" s="10">
        <v>0</v>
      </c>
      <c r="N20" s="10">
        <v>0</v>
      </c>
      <c r="O20" s="10">
        <v>6930.2</v>
      </c>
      <c r="P20" s="10">
        <v>25854</v>
      </c>
      <c r="Q20" s="10">
        <v>160834</v>
      </c>
      <c r="R20" s="10">
        <v>347774</v>
      </c>
      <c r="S20" s="10">
        <v>59936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10570</v>
      </c>
      <c r="AA20" s="10">
        <v>0</v>
      </c>
      <c r="AB20" s="10">
        <v>0</v>
      </c>
      <c r="AC20" s="10">
        <v>14739</v>
      </c>
      <c r="AD20" s="10">
        <v>20050</v>
      </c>
      <c r="AE20" s="10">
        <v>12713</v>
      </c>
      <c r="AF20" s="10">
        <v>0</v>
      </c>
      <c r="AG20" s="10">
        <v>0</v>
      </c>
      <c r="AH20" s="10">
        <v>271120</v>
      </c>
      <c r="AI20" s="10">
        <v>62291</v>
      </c>
      <c r="AJ20" s="10">
        <v>85907</v>
      </c>
      <c r="AK20" s="10">
        <v>0</v>
      </c>
      <c r="AL20" s="10">
        <v>0</v>
      </c>
      <c r="AM20" s="10">
        <v>15461</v>
      </c>
      <c r="AN20" s="10">
        <v>0</v>
      </c>
      <c r="AO20" s="10">
        <v>0</v>
      </c>
      <c r="AP20" s="10">
        <v>0</v>
      </c>
      <c r="AQ20" s="10">
        <v>21156</v>
      </c>
      <c r="AR20" s="10">
        <v>54619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v>0</v>
      </c>
      <c r="BP20" s="10"/>
      <c r="BQ20" s="10"/>
      <c r="BR20" s="10"/>
      <c r="BS20" s="114">
        <f t="shared" si="6"/>
        <v>2822134.2</v>
      </c>
      <c r="BT20" s="114">
        <f t="shared" si="7"/>
        <v>33869</v>
      </c>
      <c r="BU20" s="114">
        <f t="shared" si="8"/>
        <v>1501247</v>
      </c>
      <c r="BV20" s="114">
        <f t="shared" si="9"/>
        <v>1170108.2</v>
      </c>
      <c r="BW20" s="114">
        <f t="shared" si="4"/>
        <v>2705224.2</v>
      </c>
      <c r="BX20" s="114">
        <f t="shared" si="10"/>
        <v>116910</v>
      </c>
      <c r="BY20" s="114"/>
      <c r="BZ20" s="114">
        <f t="shared" si="5"/>
        <v>2822134.2</v>
      </c>
      <c r="CA20" s="7"/>
      <c r="CB20" s="7"/>
    </row>
    <row r="21" spans="1:80" ht="12.75">
      <c r="A21" s="176" t="s">
        <v>437</v>
      </c>
      <c r="B21" s="10">
        <v>0</v>
      </c>
      <c r="C21" s="10">
        <v>220108</v>
      </c>
      <c r="D21" s="10">
        <v>0</v>
      </c>
      <c r="E21" s="10">
        <v>30880</v>
      </c>
      <c r="F21" s="10">
        <v>32247</v>
      </c>
      <c r="G21" s="10">
        <v>673624</v>
      </c>
      <c r="H21" s="10">
        <v>0</v>
      </c>
      <c r="I21" s="10">
        <v>0</v>
      </c>
      <c r="J21" s="10">
        <v>123884</v>
      </c>
      <c r="K21" s="10">
        <v>0</v>
      </c>
      <c r="L21" s="10">
        <v>235421</v>
      </c>
      <c r="M21" s="10">
        <v>0</v>
      </c>
      <c r="N21" s="10">
        <v>0</v>
      </c>
      <c r="O21" s="10">
        <v>6930.2</v>
      </c>
      <c r="P21" s="10">
        <v>25854</v>
      </c>
      <c r="Q21" s="10">
        <v>160834</v>
      </c>
      <c r="R21" s="10">
        <v>307574</v>
      </c>
      <c r="S21" s="10">
        <v>21169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10570</v>
      </c>
      <c r="AA21" s="10">
        <v>0</v>
      </c>
      <c r="AB21" s="10">
        <v>0</v>
      </c>
      <c r="AC21" s="10">
        <v>14739</v>
      </c>
      <c r="AD21" s="10">
        <v>0</v>
      </c>
      <c r="AE21" s="10">
        <v>12713</v>
      </c>
      <c r="AF21" s="10">
        <v>0</v>
      </c>
      <c r="AG21" s="10">
        <v>0</v>
      </c>
      <c r="AH21" s="10">
        <v>197737</v>
      </c>
      <c r="AI21" s="10">
        <v>62291</v>
      </c>
      <c r="AJ21" s="10">
        <v>85907</v>
      </c>
      <c r="AK21" s="10">
        <v>0</v>
      </c>
      <c r="AL21" s="10">
        <v>0</v>
      </c>
      <c r="AM21" s="10">
        <v>15461</v>
      </c>
      <c r="AN21" s="10">
        <v>0</v>
      </c>
      <c r="AO21" s="10">
        <v>0</v>
      </c>
      <c r="AP21" s="10">
        <v>0</v>
      </c>
      <c r="AQ21" s="10">
        <v>15126</v>
      </c>
      <c r="AR21" s="10">
        <v>54619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v>0</v>
      </c>
      <c r="BN21" s="10">
        <v>0</v>
      </c>
      <c r="BO21" s="10">
        <v>0</v>
      </c>
      <c r="BP21" s="10"/>
      <c r="BQ21" s="10"/>
      <c r="BR21" s="10"/>
      <c r="BS21" s="114">
        <f t="shared" si="6"/>
        <v>2307688.2</v>
      </c>
      <c r="BT21" s="114">
        <f t="shared" si="7"/>
        <v>27839</v>
      </c>
      <c r="BU21" s="114">
        <f t="shared" si="8"/>
        <v>1379827</v>
      </c>
      <c r="BV21" s="114">
        <f t="shared" si="9"/>
        <v>783112.2</v>
      </c>
      <c r="BW21" s="114">
        <f t="shared" si="4"/>
        <v>2190778.2</v>
      </c>
      <c r="BX21" s="114">
        <f t="shared" si="10"/>
        <v>116910</v>
      </c>
      <c r="BY21" s="114"/>
      <c r="BZ21" s="114">
        <f t="shared" si="5"/>
        <v>2307688.2</v>
      </c>
      <c r="CA21" s="23"/>
      <c r="CB21" s="23"/>
    </row>
    <row r="22" spans="1:80" ht="12.75">
      <c r="A22" s="176" t="s">
        <v>438</v>
      </c>
      <c r="B22" s="10">
        <v>0</v>
      </c>
      <c r="C22" s="10">
        <v>82653</v>
      </c>
      <c r="D22" s="10">
        <v>0</v>
      </c>
      <c r="E22" s="10">
        <v>253363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40200</v>
      </c>
      <c r="S22" s="10">
        <v>38767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20050</v>
      </c>
      <c r="AE22" s="10">
        <v>0</v>
      </c>
      <c r="AF22" s="10">
        <v>0</v>
      </c>
      <c r="AG22" s="10">
        <v>0</v>
      </c>
      <c r="AH22" s="10">
        <v>73383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6030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v>0</v>
      </c>
      <c r="BN22" s="10">
        <v>0</v>
      </c>
      <c r="BO22" s="10">
        <v>0</v>
      </c>
      <c r="BP22" s="10"/>
      <c r="BQ22" s="10"/>
      <c r="BR22" s="10"/>
      <c r="BS22" s="114">
        <f t="shared" si="6"/>
        <v>514446</v>
      </c>
      <c r="BT22" s="114">
        <f t="shared" si="7"/>
        <v>6030</v>
      </c>
      <c r="BU22" s="114">
        <f t="shared" si="8"/>
        <v>121420</v>
      </c>
      <c r="BV22" s="114">
        <f t="shared" si="9"/>
        <v>386996</v>
      </c>
      <c r="BW22" s="114">
        <f t="shared" si="4"/>
        <v>514446</v>
      </c>
      <c r="BX22" s="114">
        <f t="shared" si="10"/>
        <v>0</v>
      </c>
      <c r="BY22" s="114"/>
      <c r="BZ22" s="114">
        <f t="shared" si="5"/>
        <v>514446</v>
      </c>
      <c r="CA22" s="23"/>
      <c r="CB22" s="23"/>
    </row>
    <row r="23" spans="1:80" s="169" customFormat="1" ht="15" customHeight="1">
      <c r="A23" s="174" t="s">
        <v>490</v>
      </c>
      <c r="B23" s="110">
        <f aca="true" t="shared" si="11" ref="B23:N23">B8+B13+B14+B15+B18+B19+B20</f>
        <v>31045192</v>
      </c>
      <c r="C23" s="110">
        <f t="shared" si="11"/>
        <v>17789931</v>
      </c>
      <c r="D23" s="110">
        <f t="shared" si="11"/>
        <v>11543143</v>
      </c>
      <c r="E23" s="110">
        <f t="shared" si="11"/>
        <v>21310613</v>
      </c>
      <c r="F23" s="110">
        <f t="shared" si="11"/>
        <v>9422662</v>
      </c>
      <c r="G23" s="110">
        <f t="shared" si="11"/>
        <v>7514167</v>
      </c>
      <c r="H23" s="110">
        <f t="shared" si="11"/>
        <v>10523906</v>
      </c>
      <c r="I23" s="110">
        <f t="shared" si="11"/>
        <v>5675594</v>
      </c>
      <c r="J23" s="110">
        <f t="shared" si="11"/>
        <v>3577277</v>
      </c>
      <c r="K23" s="110">
        <f t="shared" si="11"/>
        <v>4703017</v>
      </c>
      <c r="L23" s="110">
        <f t="shared" si="11"/>
        <v>4493011</v>
      </c>
      <c r="M23" s="110">
        <f t="shared" si="11"/>
        <v>2555616</v>
      </c>
      <c r="N23" s="110">
        <f t="shared" si="11"/>
        <v>6163158</v>
      </c>
      <c r="O23" s="110">
        <f aca="true" t="shared" si="12" ref="O23:V23">O8+O13+O14+O15+O18+O19+O20</f>
        <v>2884254.6</v>
      </c>
      <c r="P23" s="110">
        <f t="shared" si="12"/>
        <v>2531074</v>
      </c>
      <c r="Q23" s="110">
        <f t="shared" si="12"/>
        <v>4224676</v>
      </c>
      <c r="R23" s="110">
        <f t="shared" si="12"/>
        <v>1008727</v>
      </c>
      <c r="S23" s="110">
        <f t="shared" si="12"/>
        <v>3322125</v>
      </c>
      <c r="T23" s="110">
        <f>T8+T13+T14+T15+T18+T19+T20</f>
        <v>3937368</v>
      </c>
      <c r="U23" s="110">
        <f>U8+U13+U14+U15+U18+U19+U20</f>
        <v>3358099</v>
      </c>
      <c r="V23" s="110">
        <f t="shared" si="12"/>
        <v>3831083</v>
      </c>
      <c r="W23" s="110">
        <f aca="true" t="shared" si="13" ref="W23:AD23">W8+W13+W14+W15+W18+W19+W20</f>
        <v>2216234</v>
      </c>
      <c r="X23" s="110">
        <f t="shared" si="13"/>
        <v>474638</v>
      </c>
      <c r="Y23" s="110">
        <f t="shared" si="13"/>
        <v>585325</v>
      </c>
      <c r="Z23" s="110">
        <f t="shared" si="13"/>
        <v>1768766</v>
      </c>
      <c r="AA23" s="110">
        <f t="shared" si="13"/>
        <v>1800570</v>
      </c>
      <c r="AB23" s="110">
        <f t="shared" si="13"/>
        <v>11299</v>
      </c>
      <c r="AC23" s="110">
        <f t="shared" si="13"/>
        <v>808509</v>
      </c>
      <c r="AD23" s="110">
        <f t="shared" si="13"/>
        <v>963446</v>
      </c>
      <c r="AE23" s="110">
        <f aca="true" t="shared" si="14" ref="AE23:BO23">AE8+AE13+AE14+AE15+AE18+AE19+AE20</f>
        <v>1170938</v>
      </c>
      <c r="AF23" s="110">
        <f>AF8+AF13+AF14+AF15+AF18+AF19+AF20</f>
        <v>875307</v>
      </c>
      <c r="AG23" s="110">
        <f t="shared" si="14"/>
        <v>55614</v>
      </c>
      <c r="AH23" s="110">
        <f>AH8+AH13+AH14+AH15+AH18+AH19+AH20</f>
        <v>292732</v>
      </c>
      <c r="AI23" s="110">
        <f>AI8+AI13+AI14+AI15+AI18+AI19+AI20</f>
        <v>834441</v>
      </c>
      <c r="AJ23" s="110">
        <f t="shared" si="14"/>
        <v>935394</v>
      </c>
      <c r="AK23" s="110">
        <f t="shared" si="14"/>
        <v>495460</v>
      </c>
      <c r="AL23" s="110">
        <f t="shared" si="14"/>
        <v>20344</v>
      </c>
      <c r="AM23" s="110">
        <f t="shared" si="14"/>
        <v>644416</v>
      </c>
      <c r="AN23" s="110">
        <f t="shared" si="14"/>
        <v>417983</v>
      </c>
      <c r="AO23" s="110">
        <f>AO8+AO13+AO14+AO15+AO18+AO19+AO20</f>
        <v>640886</v>
      </c>
      <c r="AP23" s="110">
        <f t="shared" si="14"/>
        <v>664842</v>
      </c>
      <c r="AQ23" s="110">
        <f t="shared" si="14"/>
        <v>420470</v>
      </c>
      <c r="AR23" s="110">
        <f>AR8+AR13+AR14+AR15+AR18+AR19+AR20</f>
        <v>632640</v>
      </c>
      <c r="AS23" s="110">
        <f t="shared" si="14"/>
        <v>402378</v>
      </c>
      <c r="AT23" s="110">
        <f>AT8+AT13+AT14+AT15+AT18+AT19+AT20</f>
        <v>508023</v>
      </c>
      <c r="AU23" s="110">
        <f t="shared" si="14"/>
        <v>510241</v>
      </c>
      <c r="AV23" s="110">
        <f>AV8+AV13+AV14+AV15+AV18+AV19+AV20</f>
        <v>394572</v>
      </c>
      <c r="AW23" s="110">
        <f t="shared" si="14"/>
        <v>388350</v>
      </c>
      <c r="AX23" s="110">
        <f t="shared" si="14"/>
        <v>505074</v>
      </c>
      <c r="AY23" s="110">
        <f>AY8+AY13+AY14+AY15+AY18+AY19+AY20</f>
        <v>346739</v>
      </c>
      <c r="AZ23" s="110">
        <f t="shared" si="14"/>
        <v>278227</v>
      </c>
      <c r="BA23" s="110">
        <f>BA8+BA13+BA14+BA15+BA18+BA19+BA20</f>
        <v>205807</v>
      </c>
      <c r="BB23" s="110">
        <f t="shared" si="14"/>
        <v>359100</v>
      </c>
      <c r="BC23" s="110">
        <f t="shared" si="14"/>
        <v>186383</v>
      </c>
      <c r="BD23" s="110">
        <f t="shared" si="14"/>
        <v>209053</v>
      </c>
      <c r="BE23" s="110">
        <f t="shared" si="14"/>
        <v>0</v>
      </c>
      <c r="BF23" s="110">
        <f>BF8+BF13+BF14+BF15+BF18+BF19+BF20</f>
        <v>91678</v>
      </c>
      <c r="BG23" s="110">
        <f>BG8+BG13+BG14+BG15+BG18+BG19+BG20</f>
        <v>54486</v>
      </c>
      <c r="BH23" s="110">
        <f>BH8+BH13+BH14+BH15+BH18+BH19+BH20</f>
        <v>58927</v>
      </c>
      <c r="BI23" s="110">
        <f t="shared" si="14"/>
        <v>26828</v>
      </c>
      <c r="BJ23" s="110">
        <f t="shared" si="14"/>
        <v>36260</v>
      </c>
      <c r="BK23" s="110">
        <f>BK8+BK13+BK14+BK15+BK18+BK19+BK20</f>
        <v>0</v>
      </c>
      <c r="BL23" s="110">
        <f t="shared" si="14"/>
        <v>33908</v>
      </c>
      <c r="BM23" s="110">
        <f t="shared" si="14"/>
        <v>10604</v>
      </c>
      <c r="BN23" s="110">
        <f t="shared" si="14"/>
        <v>0</v>
      </c>
      <c r="BO23" s="110">
        <f t="shared" si="14"/>
        <v>0</v>
      </c>
      <c r="BP23" s="110"/>
      <c r="BQ23" s="110"/>
      <c r="BR23" s="110"/>
      <c r="BS23" s="114">
        <f t="shared" si="6"/>
        <v>182751585.6</v>
      </c>
      <c r="BT23" s="114">
        <f t="shared" si="7"/>
        <v>19176194</v>
      </c>
      <c r="BU23" s="114">
        <f t="shared" si="8"/>
        <v>62958632</v>
      </c>
      <c r="BV23" s="114">
        <f t="shared" si="9"/>
        <v>92716041.6</v>
      </c>
      <c r="BW23" s="114">
        <f t="shared" si="4"/>
        <v>174850867.6</v>
      </c>
      <c r="BX23" s="114">
        <f t="shared" si="10"/>
        <v>7900718</v>
      </c>
      <c r="BY23" s="114"/>
      <c r="BZ23" s="114">
        <f t="shared" si="5"/>
        <v>182751585.6</v>
      </c>
      <c r="CA23" s="34"/>
      <c r="CB23" s="34"/>
    </row>
    <row r="24" spans="1:80" ht="6.75" customHeight="1">
      <c r="A24" s="177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14"/>
      <c r="BT24" s="114"/>
      <c r="BU24" s="114"/>
      <c r="BV24" s="114"/>
      <c r="BW24" s="114"/>
      <c r="BX24" s="114"/>
      <c r="BY24" s="114"/>
      <c r="BZ24" s="114"/>
      <c r="CA24" s="7"/>
      <c r="CB24" s="7"/>
    </row>
    <row r="25" spans="1:80" s="169" customFormat="1" ht="12.75">
      <c r="A25" s="168" t="s">
        <v>441</v>
      </c>
      <c r="BS25" s="114"/>
      <c r="BT25" s="114"/>
      <c r="BU25" s="114"/>
      <c r="BV25" s="114"/>
      <c r="BW25" s="114"/>
      <c r="BX25" s="114"/>
      <c r="BZ25" s="114"/>
      <c r="CA25" s="13"/>
      <c r="CB25" s="13"/>
    </row>
    <row r="26" spans="1:80" ht="16.5" customHeight="1">
      <c r="A26" s="176" t="s">
        <v>460</v>
      </c>
      <c r="B26" s="10">
        <v>0</v>
      </c>
      <c r="C26" s="10">
        <v>0</v>
      </c>
      <c r="D26" s="10">
        <f>308226+1874046</f>
        <v>2182272</v>
      </c>
      <c r="E26" s="10">
        <v>0</v>
      </c>
      <c r="F26" s="10">
        <v>212866</v>
      </c>
      <c r="G26" s="10">
        <v>11508</v>
      </c>
      <c r="H26" s="10">
        <v>0</v>
      </c>
      <c r="I26" s="10">
        <v>0</v>
      </c>
      <c r="J26" s="10">
        <v>0</v>
      </c>
      <c r="K26" s="10">
        <v>0</v>
      </c>
      <c r="L26" s="10">
        <v>90840</v>
      </c>
      <c r="M26" s="10">
        <v>0</v>
      </c>
      <c r="N26" s="10">
        <v>0</v>
      </c>
      <c r="O26" s="10">
        <v>0</v>
      </c>
      <c r="P26" s="10">
        <v>0</v>
      </c>
      <c r="Q26" s="10">
        <v>112098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32424</v>
      </c>
      <c r="X26" s="10">
        <v>0</v>
      </c>
      <c r="Y26" s="10">
        <v>0</v>
      </c>
      <c r="Z26" s="10">
        <v>0</v>
      </c>
      <c r="AA26" s="10">
        <v>45531</v>
      </c>
      <c r="AB26" s="10">
        <v>0</v>
      </c>
      <c r="AC26" s="10">
        <v>20457</v>
      </c>
      <c r="AD26" s="10">
        <v>0</v>
      </c>
      <c r="AE26" s="10">
        <v>0</v>
      </c>
      <c r="AF26" s="10">
        <v>28275</v>
      </c>
      <c r="AG26" s="10">
        <v>186567</v>
      </c>
      <c r="AH26" s="10">
        <v>115548</v>
      </c>
      <c r="AI26" s="10">
        <v>3427</v>
      </c>
      <c r="AJ26" s="10">
        <v>8093</v>
      </c>
      <c r="AK26" s="10">
        <v>5406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v>0</v>
      </c>
      <c r="BN26" s="10">
        <v>0</v>
      </c>
      <c r="BO26" s="10">
        <v>0</v>
      </c>
      <c r="BP26" s="10"/>
      <c r="BQ26" s="10"/>
      <c r="BR26" s="10"/>
      <c r="BS26" s="114">
        <f t="shared" si="6"/>
        <v>3055312</v>
      </c>
      <c r="BT26" s="114">
        <f t="shared" si="7"/>
        <v>2446794</v>
      </c>
      <c r="BU26" s="114">
        <f t="shared" si="8"/>
        <v>432718</v>
      </c>
      <c r="BV26" s="114">
        <f t="shared" si="9"/>
        <v>144098</v>
      </c>
      <c r="BW26" s="114">
        <f t="shared" si="4"/>
        <v>3023610</v>
      </c>
      <c r="BX26" s="114">
        <f t="shared" si="10"/>
        <v>31702</v>
      </c>
      <c r="BY26" s="114"/>
      <c r="BZ26" s="114">
        <f t="shared" si="5"/>
        <v>3055312</v>
      </c>
      <c r="CA26" s="7"/>
      <c r="CB26" s="7"/>
    </row>
    <row r="27" spans="1:80" ht="12.75">
      <c r="A27" s="176" t="s">
        <v>200</v>
      </c>
      <c r="B27" s="10">
        <v>0</v>
      </c>
      <c r="C27" s="10">
        <v>0</v>
      </c>
      <c r="D27" s="10">
        <v>0</v>
      </c>
      <c r="E27" s="10">
        <v>0</v>
      </c>
      <c r="F27" s="10">
        <v>1048521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159400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9841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17335</v>
      </c>
      <c r="AD27" s="10">
        <v>0</v>
      </c>
      <c r="AE27" s="10">
        <v>177513</v>
      </c>
      <c r="AF27" s="10">
        <v>30709</v>
      </c>
      <c r="AG27" s="10">
        <v>130799</v>
      </c>
      <c r="AH27" s="10">
        <v>0</v>
      </c>
      <c r="AI27" s="10">
        <v>86033</v>
      </c>
      <c r="AJ27" s="10">
        <v>61824</v>
      </c>
      <c r="AK27" s="10">
        <v>81820</v>
      </c>
      <c r="AL27" s="10">
        <v>0</v>
      </c>
      <c r="AM27" s="10">
        <v>36508</v>
      </c>
      <c r="AN27" s="10">
        <v>0</v>
      </c>
      <c r="AO27" s="10">
        <v>32759</v>
      </c>
      <c r="AP27" s="10"/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11242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v>0</v>
      </c>
      <c r="BG27" s="10">
        <v>7992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0">
        <v>0</v>
      </c>
      <c r="BO27" s="10">
        <v>0</v>
      </c>
      <c r="BP27" s="10"/>
      <c r="BQ27" s="10"/>
      <c r="BR27" s="10"/>
      <c r="BS27" s="114">
        <f t="shared" si="6"/>
        <v>1892296</v>
      </c>
      <c r="BT27" s="114">
        <f t="shared" si="7"/>
        <v>360305</v>
      </c>
      <c r="BU27" s="114">
        <f t="shared" si="8"/>
        <v>1299582</v>
      </c>
      <c r="BV27" s="114">
        <f t="shared" si="9"/>
        <v>115667</v>
      </c>
      <c r="BW27" s="114">
        <f t="shared" si="4"/>
        <v>1775554</v>
      </c>
      <c r="BX27" s="114">
        <f t="shared" si="10"/>
        <v>116742</v>
      </c>
      <c r="BY27" s="114"/>
      <c r="BZ27" s="114">
        <f t="shared" si="5"/>
        <v>1892296</v>
      </c>
      <c r="CA27" s="23"/>
      <c r="CB27" s="23"/>
    </row>
    <row r="28" spans="1:80" ht="12.75">
      <c r="A28" s="176" t="s">
        <v>194</v>
      </c>
      <c r="B28" s="10">
        <v>0</v>
      </c>
      <c r="C28" s="10">
        <v>0</v>
      </c>
      <c r="D28" s="10">
        <v>0</v>
      </c>
      <c r="E28" s="10">
        <v>0</v>
      </c>
      <c r="F28" s="10">
        <v>907942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178479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3662</v>
      </c>
      <c r="AF28" s="10">
        <v>131519</v>
      </c>
      <c r="AG28" s="10">
        <v>21080</v>
      </c>
      <c r="AH28" s="10">
        <v>0</v>
      </c>
      <c r="AI28" s="10">
        <v>78805</v>
      </c>
      <c r="AJ28" s="10">
        <v>40660</v>
      </c>
      <c r="AK28" s="10">
        <v>441777</v>
      </c>
      <c r="AL28" s="10">
        <v>1030283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  <c r="BH28" s="10">
        <v>0</v>
      </c>
      <c r="BI28" s="10">
        <v>0</v>
      </c>
      <c r="BJ28" s="10">
        <v>0</v>
      </c>
      <c r="BK28" s="10">
        <v>10508</v>
      </c>
      <c r="BL28" s="10">
        <v>0</v>
      </c>
      <c r="BM28" s="10">
        <v>0</v>
      </c>
      <c r="BN28" s="10">
        <v>0</v>
      </c>
      <c r="BO28" s="10">
        <v>0</v>
      </c>
      <c r="BP28" s="10"/>
      <c r="BQ28" s="10"/>
      <c r="BR28" s="10"/>
      <c r="BS28" s="114">
        <f t="shared" si="6"/>
        <v>2844715</v>
      </c>
      <c r="BT28" s="114">
        <f t="shared" si="7"/>
        <v>35250</v>
      </c>
      <c r="BU28" s="114">
        <f t="shared" si="8"/>
        <v>2558481</v>
      </c>
      <c r="BV28" s="114">
        <f t="shared" si="9"/>
        <v>40660</v>
      </c>
      <c r="BW28" s="114">
        <f t="shared" si="4"/>
        <v>2634391</v>
      </c>
      <c r="BX28" s="114">
        <f t="shared" si="10"/>
        <v>210324</v>
      </c>
      <c r="BY28" s="114"/>
      <c r="BZ28" s="114">
        <f t="shared" si="5"/>
        <v>2844715</v>
      </c>
      <c r="CA28" s="7"/>
      <c r="CB28" s="7"/>
    </row>
    <row r="29" spans="1:80" ht="12.75">
      <c r="A29" s="176" t="s">
        <v>195</v>
      </c>
      <c r="B29" s="10">
        <v>7981589</v>
      </c>
      <c r="C29" s="10">
        <v>4499291</v>
      </c>
      <c r="D29" s="10">
        <v>5063733</v>
      </c>
      <c r="E29" s="10">
        <v>3432703</v>
      </c>
      <c r="F29" s="10">
        <v>3571403</v>
      </c>
      <c r="G29" s="10">
        <v>547997</v>
      </c>
      <c r="H29" s="10">
        <v>2436458</v>
      </c>
      <c r="I29" s="10">
        <v>0</v>
      </c>
      <c r="J29" s="10">
        <v>1599646</v>
      </c>
      <c r="K29" s="10">
        <v>1018563</v>
      </c>
      <c r="L29" s="10">
        <v>1010269</v>
      </c>
      <c r="M29" s="10">
        <v>0</v>
      </c>
      <c r="N29" s="10">
        <v>953039</v>
      </c>
      <c r="O29" s="10">
        <v>872303.3</v>
      </c>
      <c r="P29" s="10">
        <v>665399</v>
      </c>
      <c r="Q29" s="10">
        <v>533606</v>
      </c>
      <c r="R29" s="10">
        <v>416275</v>
      </c>
      <c r="S29" s="10">
        <v>676746</v>
      </c>
      <c r="T29" s="10">
        <v>0</v>
      </c>
      <c r="U29" s="10">
        <v>1000295</v>
      </c>
      <c r="V29" s="10">
        <v>0</v>
      </c>
      <c r="W29" s="10">
        <v>1111890</v>
      </c>
      <c r="X29" s="10">
        <v>85535</v>
      </c>
      <c r="Y29" s="10">
        <v>118936</v>
      </c>
      <c r="Z29" s="10">
        <v>519628</v>
      </c>
      <c r="AA29" s="10">
        <v>253250</v>
      </c>
      <c r="AB29" s="10">
        <v>553868</v>
      </c>
      <c r="AC29" s="10">
        <v>326149</v>
      </c>
      <c r="AD29" s="10">
        <v>367394</v>
      </c>
      <c r="AE29" s="10">
        <v>318142</v>
      </c>
      <c r="AF29" s="10">
        <v>12170</v>
      </c>
      <c r="AG29" s="10">
        <v>0</v>
      </c>
      <c r="AH29" s="10">
        <v>0</v>
      </c>
      <c r="AI29" s="10">
        <v>21768</v>
      </c>
      <c r="AJ29" s="10">
        <v>237717</v>
      </c>
      <c r="AK29" s="10">
        <v>248328</v>
      </c>
      <c r="AL29" s="10">
        <v>165131</v>
      </c>
      <c r="AM29" s="10">
        <v>153742</v>
      </c>
      <c r="AN29" s="10">
        <v>137755</v>
      </c>
      <c r="AO29" s="10">
        <v>101401</v>
      </c>
      <c r="AP29" s="10">
        <v>137365</v>
      </c>
      <c r="AQ29" s="10">
        <v>98826</v>
      </c>
      <c r="AR29" s="10">
        <v>0</v>
      </c>
      <c r="AS29" s="10">
        <v>141828</v>
      </c>
      <c r="AT29" s="10">
        <v>44996</v>
      </c>
      <c r="AU29" s="10">
        <v>103356</v>
      </c>
      <c r="AV29" s="10">
        <v>129129</v>
      </c>
      <c r="AW29" s="10">
        <v>0</v>
      </c>
      <c r="AX29" s="10">
        <v>0</v>
      </c>
      <c r="AY29" s="10">
        <v>0</v>
      </c>
      <c r="AZ29" s="10">
        <v>0</v>
      </c>
      <c r="BA29" s="10">
        <v>60908</v>
      </c>
      <c r="BB29" s="10">
        <v>0</v>
      </c>
      <c r="BC29" s="10">
        <v>57002</v>
      </c>
      <c r="BD29" s="10">
        <v>0</v>
      </c>
      <c r="BE29" s="10">
        <v>19518</v>
      </c>
      <c r="BF29" s="10">
        <v>0</v>
      </c>
      <c r="BG29" s="10">
        <v>31356</v>
      </c>
      <c r="BH29" s="10">
        <v>7890</v>
      </c>
      <c r="BI29" s="10">
        <v>0</v>
      </c>
      <c r="BJ29" s="10">
        <v>0</v>
      </c>
      <c r="BK29" s="10">
        <v>0</v>
      </c>
      <c r="BL29" s="10">
        <v>0</v>
      </c>
      <c r="BM29" s="10">
        <v>0</v>
      </c>
      <c r="BN29" s="10">
        <v>0</v>
      </c>
      <c r="BO29" s="10">
        <v>0</v>
      </c>
      <c r="BP29" s="10"/>
      <c r="BQ29" s="10"/>
      <c r="BR29" s="10"/>
      <c r="BS29" s="114">
        <f t="shared" si="6"/>
        <v>41844293.3</v>
      </c>
      <c r="BT29" s="114">
        <f t="shared" si="7"/>
        <v>7879943</v>
      </c>
      <c r="BU29" s="114">
        <f t="shared" si="8"/>
        <v>14512756</v>
      </c>
      <c r="BV29" s="114">
        <f t="shared" si="9"/>
        <v>19218327.3</v>
      </c>
      <c r="BW29" s="114">
        <f t="shared" si="4"/>
        <v>41611026.3</v>
      </c>
      <c r="BX29" s="114">
        <f t="shared" si="10"/>
        <v>233267</v>
      </c>
      <c r="BY29" s="114"/>
      <c r="BZ29" s="114">
        <f t="shared" si="5"/>
        <v>41844293.3</v>
      </c>
      <c r="CA29" s="7"/>
      <c r="CB29" s="7"/>
    </row>
    <row r="30" spans="1:80" ht="12.75">
      <c r="A30" s="176" t="s">
        <v>201</v>
      </c>
      <c r="B30" s="10">
        <v>6724445</v>
      </c>
      <c r="C30" s="10">
        <v>4499291</v>
      </c>
      <c r="D30" s="10">
        <v>4091884</v>
      </c>
      <c r="E30" s="10">
        <v>3432703</v>
      </c>
      <c r="F30" s="10">
        <v>2686475</v>
      </c>
      <c r="G30" s="10">
        <v>547997</v>
      </c>
      <c r="H30" s="10">
        <v>2429948</v>
      </c>
      <c r="I30" s="10">
        <v>0</v>
      </c>
      <c r="J30" s="10">
        <v>1506853</v>
      </c>
      <c r="K30" s="10">
        <v>1018563</v>
      </c>
      <c r="L30" s="10">
        <v>989934</v>
      </c>
      <c r="M30" s="10">
        <v>0</v>
      </c>
      <c r="N30" s="10">
        <v>953039</v>
      </c>
      <c r="O30" s="10">
        <v>867670.6</v>
      </c>
      <c r="P30" s="10">
        <v>665399</v>
      </c>
      <c r="Q30" s="10">
        <v>531054</v>
      </c>
      <c r="R30" s="10">
        <v>416275</v>
      </c>
      <c r="S30" s="10">
        <v>673978</v>
      </c>
      <c r="T30" s="10">
        <v>0</v>
      </c>
      <c r="U30" s="10">
        <v>297387</v>
      </c>
      <c r="V30" s="10">
        <v>0</v>
      </c>
      <c r="W30" s="10">
        <v>749564</v>
      </c>
      <c r="X30" s="10">
        <v>85535</v>
      </c>
      <c r="Y30" s="10">
        <v>118266</v>
      </c>
      <c r="Z30" s="10">
        <v>519628</v>
      </c>
      <c r="AA30" s="10">
        <v>46180</v>
      </c>
      <c r="AB30" s="10">
        <v>553868</v>
      </c>
      <c r="AC30" s="10">
        <v>326149</v>
      </c>
      <c r="AD30" s="10">
        <v>354564</v>
      </c>
      <c r="AE30" s="10">
        <v>317348</v>
      </c>
      <c r="AF30" s="10">
        <v>0</v>
      </c>
      <c r="AG30" s="10">
        <v>0</v>
      </c>
      <c r="AH30" s="10">
        <v>0</v>
      </c>
      <c r="AI30" s="10">
        <v>0</v>
      </c>
      <c r="AJ30" s="10">
        <v>230336</v>
      </c>
      <c r="AK30" s="10">
        <v>247383</v>
      </c>
      <c r="AL30" s="10">
        <v>165131</v>
      </c>
      <c r="AM30" s="10">
        <v>153742</v>
      </c>
      <c r="AN30" s="10">
        <v>137755</v>
      </c>
      <c r="AO30" s="10">
        <v>101401</v>
      </c>
      <c r="AP30" s="10">
        <v>136602</v>
      </c>
      <c r="AQ30" s="10">
        <v>98826</v>
      </c>
      <c r="AR30" s="10">
        <v>0</v>
      </c>
      <c r="AS30" s="10">
        <v>141828</v>
      </c>
      <c r="AT30" s="10">
        <v>44996</v>
      </c>
      <c r="AU30" s="10">
        <v>103356</v>
      </c>
      <c r="AV30" s="10">
        <v>129129</v>
      </c>
      <c r="AW30" s="10">
        <v>0</v>
      </c>
      <c r="AX30" s="10">
        <v>0</v>
      </c>
      <c r="AY30" s="10">
        <v>0</v>
      </c>
      <c r="AZ30" s="10">
        <v>0</v>
      </c>
      <c r="BA30" s="10">
        <v>60790</v>
      </c>
      <c r="BB30" s="10">
        <v>0</v>
      </c>
      <c r="BC30" s="10">
        <v>57002</v>
      </c>
      <c r="BD30" s="10">
        <v>0</v>
      </c>
      <c r="BE30" s="10">
        <v>19518</v>
      </c>
      <c r="BF30" s="10">
        <v>0</v>
      </c>
      <c r="BG30" s="10">
        <v>31356</v>
      </c>
      <c r="BH30" s="10">
        <v>7890</v>
      </c>
      <c r="BI30" s="10">
        <v>0</v>
      </c>
      <c r="BJ30" s="10">
        <v>0</v>
      </c>
      <c r="BK30" s="10">
        <v>0</v>
      </c>
      <c r="BL30" s="10">
        <v>0</v>
      </c>
      <c r="BM30" s="10">
        <v>0</v>
      </c>
      <c r="BN30" s="10">
        <v>0</v>
      </c>
      <c r="BO30" s="10">
        <v>0</v>
      </c>
      <c r="BP30" s="10"/>
      <c r="BQ30" s="10"/>
      <c r="BR30" s="10"/>
      <c r="BS30" s="114">
        <f t="shared" si="6"/>
        <v>37271038.6</v>
      </c>
      <c r="BT30" s="114">
        <f t="shared" si="7"/>
        <v>6337904</v>
      </c>
      <c r="BU30" s="114">
        <f t="shared" si="8"/>
        <v>13601228</v>
      </c>
      <c r="BV30" s="114">
        <f t="shared" si="9"/>
        <v>17132695.6</v>
      </c>
      <c r="BW30" s="114">
        <f t="shared" si="4"/>
        <v>37071827.6</v>
      </c>
      <c r="BX30" s="114">
        <f t="shared" si="10"/>
        <v>199211</v>
      </c>
      <c r="BY30" s="114"/>
      <c r="BZ30" s="114">
        <f t="shared" si="5"/>
        <v>37271038.6</v>
      </c>
      <c r="CA30" s="23"/>
      <c r="CB30" s="23"/>
    </row>
    <row r="31" spans="1:80" ht="12.75">
      <c r="A31" s="176" t="s">
        <v>202</v>
      </c>
      <c r="B31" s="10">
        <v>0</v>
      </c>
      <c r="C31" s="10">
        <v>0</v>
      </c>
      <c r="D31" s="10">
        <v>108315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7674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437</v>
      </c>
      <c r="AJ31" s="10">
        <v>4279</v>
      </c>
      <c r="AK31" s="10">
        <v>0</v>
      </c>
      <c r="AL31" s="10">
        <v>0</v>
      </c>
      <c r="AM31" s="10">
        <v>0</v>
      </c>
      <c r="AN31" s="10">
        <v>0</v>
      </c>
      <c r="AO31" s="10">
        <v>15570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26936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v>3439</v>
      </c>
      <c r="BG31" s="10">
        <v>0</v>
      </c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v>0</v>
      </c>
      <c r="BN31" s="10">
        <v>0</v>
      </c>
      <c r="BO31" s="10">
        <v>0</v>
      </c>
      <c r="BP31" s="10"/>
      <c r="BQ31" s="10"/>
      <c r="BR31" s="10"/>
      <c r="BS31" s="114">
        <f t="shared" si="6"/>
        <v>166650</v>
      </c>
      <c r="BT31" s="114">
        <f t="shared" si="7"/>
        <v>131559</v>
      </c>
      <c r="BU31" s="114">
        <f t="shared" si="8"/>
        <v>0</v>
      </c>
      <c r="BV31" s="114">
        <f t="shared" si="9"/>
        <v>34654</v>
      </c>
      <c r="BW31" s="114">
        <f t="shared" si="4"/>
        <v>166213</v>
      </c>
      <c r="BX31" s="114">
        <f t="shared" si="10"/>
        <v>437</v>
      </c>
      <c r="BY31" s="114"/>
      <c r="BZ31" s="114">
        <f t="shared" si="5"/>
        <v>166650</v>
      </c>
      <c r="CA31" s="23"/>
      <c r="CB31" s="23"/>
    </row>
    <row r="32" spans="1:80" ht="12.75">
      <c r="A32" s="176" t="s">
        <v>199</v>
      </c>
      <c r="B32" s="10">
        <v>1135807</v>
      </c>
      <c r="C32" s="10">
        <v>3103758</v>
      </c>
      <c r="D32" s="10">
        <v>4973850</v>
      </c>
      <c r="E32" s="10">
        <v>156332</v>
      </c>
      <c r="F32" s="10">
        <v>2435284</v>
      </c>
      <c r="G32" s="10">
        <v>396185</v>
      </c>
      <c r="H32" s="10">
        <v>216866</v>
      </c>
      <c r="I32" s="10">
        <v>0</v>
      </c>
      <c r="J32" s="10">
        <v>1203666</v>
      </c>
      <c r="K32" s="10">
        <v>2219052</v>
      </c>
      <c r="L32" s="10">
        <v>507074</v>
      </c>
      <c r="M32" s="10">
        <v>6772</v>
      </c>
      <c r="N32" s="10">
        <v>97503</v>
      </c>
      <c r="O32" s="10">
        <v>1172687.4</v>
      </c>
      <c r="P32" s="10">
        <v>70425</v>
      </c>
      <c r="Q32" s="10">
        <v>0</v>
      </c>
      <c r="R32" s="10">
        <v>7213</v>
      </c>
      <c r="S32" s="10">
        <v>559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11335</v>
      </c>
      <c r="Z32" s="10">
        <v>39235</v>
      </c>
      <c r="AA32" s="10">
        <v>0</v>
      </c>
      <c r="AB32" s="10">
        <v>191374</v>
      </c>
      <c r="AC32" s="10">
        <v>141789</v>
      </c>
      <c r="AD32" s="10">
        <v>752161</v>
      </c>
      <c r="AE32" s="10">
        <v>88191</v>
      </c>
      <c r="AF32" s="10">
        <v>0</v>
      </c>
      <c r="AG32" s="10">
        <v>2701</v>
      </c>
      <c r="AH32" s="10">
        <v>453353</v>
      </c>
      <c r="AI32" s="10">
        <v>64803</v>
      </c>
      <c r="AJ32" s="10">
        <v>66945</v>
      </c>
      <c r="AK32" s="10">
        <v>26108</v>
      </c>
      <c r="AL32" s="10">
        <v>2721</v>
      </c>
      <c r="AM32" s="10">
        <v>0</v>
      </c>
      <c r="AN32" s="10">
        <v>0</v>
      </c>
      <c r="AO32" s="10">
        <v>0</v>
      </c>
      <c r="AP32" s="10">
        <v>0</v>
      </c>
      <c r="AQ32" s="10">
        <v>97553</v>
      </c>
      <c r="AR32" s="10">
        <v>0</v>
      </c>
      <c r="AS32" s="10">
        <v>3934</v>
      </c>
      <c r="AT32" s="10">
        <v>12966</v>
      </c>
      <c r="AU32" s="10">
        <v>0</v>
      </c>
      <c r="AV32" s="10">
        <v>19033</v>
      </c>
      <c r="AW32" s="10">
        <v>90328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v>0</v>
      </c>
      <c r="BG32" s="10"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v>0</v>
      </c>
      <c r="BN32" s="10">
        <v>0</v>
      </c>
      <c r="BO32" s="10">
        <v>0</v>
      </c>
      <c r="BP32" s="10"/>
      <c r="BQ32" s="10"/>
      <c r="BR32" s="10"/>
      <c r="BS32" s="114">
        <f t="shared" si="6"/>
        <v>19767563.4</v>
      </c>
      <c r="BT32" s="114">
        <f t="shared" si="7"/>
        <v>5376636</v>
      </c>
      <c r="BU32" s="114">
        <f t="shared" si="8"/>
        <v>8897904</v>
      </c>
      <c r="BV32" s="114">
        <f t="shared" si="9"/>
        <v>5415254.4</v>
      </c>
      <c r="BW32" s="114">
        <f t="shared" si="4"/>
        <v>19689794.4</v>
      </c>
      <c r="BX32" s="114">
        <f t="shared" si="10"/>
        <v>77769</v>
      </c>
      <c r="BY32" s="114"/>
      <c r="BZ32" s="114">
        <f t="shared" si="5"/>
        <v>19767563.4</v>
      </c>
      <c r="CA32" s="23"/>
      <c r="CB32" s="23"/>
    </row>
    <row r="33" spans="1:80" ht="12.75">
      <c r="A33" s="176" t="s">
        <v>439</v>
      </c>
      <c r="B33" s="10">
        <v>7189080</v>
      </c>
      <c r="C33" s="10">
        <v>2217998</v>
      </c>
      <c r="D33" s="10">
        <v>9520167</v>
      </c>
      <c r="E33" s="10">
        <v>1597906</v>
      </c>
      <c r="F33" s="10">
        <v>2865253</v>
      </c>
      <c r="G33" s="10">
        <v>188675</v>
      </c>
      <c r="H33" s="10">
        <v>236346</v>
      </c>
      <c r="I33" s="10">
        <v>1306943.8</v>
      </c>
      <c r="J33" s="10">
        <v>1956961</v>
      </c>
      <c r="K33" s="10">
        <v>1194606</v>
      </c>
      <c r="L33" s="10">
        <v>852513</v>
      </c>
      <c r="M33" s="10">
        <v>236537</v>
      </c>
      <c r="N33" s="10">
        <v>217411</v>
      </c>
      <c r="O33" s="10">
        <v>536939.7</v>
      </c>
      <c r="P33" s="10">
        <v>390520</v>
      </c>
      <c r="Q33" s="10">
        <v>9015</v>
      </c>
      <c r="R33" s="10">
        <v>2302433</v>
      </c>
      <c r="S33" s="10">
        <v>80039</v>
      </c>
      <c r="T33" s="10">
        <v>42000</v>
      </c>
      <c r="U33" s="10">
        <v>441629</v>
      </c>
      <c r="V33" s="10">
        <v>812509</v>
      </c>
      <c r="W33" s="10">
        <v>876733</v>
      </c>
      <c r="X33" s="10">
        <v>0</v>
      </c>
      <c r="Y33" s="10">
        <v>348611</v>
      </c>
      <c r="Z33" s="10">
        <v>73547</v>
      </c>
      <c r="AA33" s="10">
        <v>404073</v>
      </c>
      <c r="AB33" s="10">
        <v>1321453</v>
      </c>
      <c r="AC33" s="10">
        <v>253878</v>
      </c>
      <c r="AD33" s="10">
        <v>221407</v>
      </c>
      <c r="AE33" s="10">
        <v>174555</v>
      </c>
      <c r="AF33" s="10">
        <v>0</v>
      </c>
      <c r="AG33" s="10">
        <v>0</v>
      </c>
      <c r="AH33" s="10">
        <v>214945</v>
      </c>
      <c r="AI33" s="10">
        <v>26502</v>
      </c>
      <c r="AJ33" s="10">
        <v>118626</v>
      </c>
      <c r="AK33" s="10">
        <v>25259</v>
      </c>
      <c r="AL33" s="10">
        <v>11589</v>
      </c>
      <c r="AM33" s="10">
        <v>62413</v>
      </c>
      <c r="AN33" s="10">
        <v>87317</v>
      </c>
      <c r="AO33" s="10">
        <v>21377</v>
      </c>
      <c r="AP33" s="10">
        <v>86630</v>
      </c>
      <c r="AQ33" s="10">
        <f>129745+1000</f>
        <v>130745</v>
      </c>
      <c r="AR33" s="10">
        <v>48294</v>
      </c>
      <c r="AS33" s="10">
        <v>126205</v>
      </c>
      <c r="AT33" s="10">
        <v>32024</v>
      </c>
      <c r="AU33" s="10">
        <v>11864</v>
      </c>
      <c r="AV33" s="10">
        <v>97279</v>
      </c>
      <c r="AW33" s="10">
        <v>24484</v>
      </c>
      <c r="AX33" s="10">
        <v>6115</v>
      </c>
      <c r="AY33" s="10">
        <v>4533</v>
      </c>
      <c r="AZ33" s="10">
        <v>16064</v>
      </c>
      <c r="BA33" s="10">
        <v>2707</v>
      </c>
      <c r="BB33" s="10">
        <v>20448</v>
      </c>
      <c r="BC33" s="10">
        <v>78710</v>
      </c>
      <c r="BD33" s="10">
        <v>9558</v>
      </c>
      <c r="BE33" s="10">
        <v>83944</v>
      </c>
      <c r="BF33" s="10">
        <v>45214</v>
      </c>
      <c r="BG33" s="10">
        <v>5661</v>
      </c>
      <c r="BH33" s="10">
        <v>0</v>
      </c>
      <c r="BI33" s="10">
        <v>71022</v>
      </c>
      <c r="BJ33" s="10">
        <v>12922</v>
      </c>
      <c r="BK33" s="10">
        <v>0</v>
      </c>
      <c r="BL33" s="10">
        <v>0</v>
      </c>
      <c r="BM33" s="10">
        <v>0</v>
      </c>
      <c r="BN33" s="10">
        <v>13535</v>
      </c>
      <c r="BO33" s="10">
        <v>0</v>
      </c>
      <c r="BP33" s="10"/>
      <c r="BQ33" s="10"/>
      <c r="BR33" s="10"/>
      <c r="BS33" s="114">
        <f t="shared" si="6"/>
        <v>39365724.5</v>
      </c>
      <c r="BT33" s="114">
        <f t="shared" si="7"/>
        <v>12876917</v>
      </c>
      <c r="BU33" s="114">
        <f t="shared" si="8"/>
        <v>8138289</v>
      </c>
      <c r="BV33" s="114">
        <f t="shared" si="9"/>
        <v>18123436.5</v>
      </c>
      <c r="BW33" s="114">
        <f t="shared" si="4"/>
        <v>39138642.5</v>
      </c>
      <c r="BX33" s="114">
        <f t="shared" si="10"/>
        <v>227082</v>
      </c>
      <c r="BY33" s="114"/>
      <c r="BZ33" s="114">
        <f t="shared" si="5"/>
        <v>39365724.5</v>
      </c>
      <c r="CA33" s="7"/>
      <c r="CB33" s="7"/>
    </row>
    <row r="34" spans="1:80" s="169" customFormat="1" ht="12.75" customHeight="1">
      <c r="A34" s="174" t="s">
        <v>491</v>
      </c>
      <c r="B34" s="110">
        <f aca="true" t="shared" si="15" ref="B34:N34">SUM(B26:B29)+SUM(B31:B33)</f>
        <v>16306476</v>
      </c>
      <c r="C34" s="110">
        <f t="shared" si="15"/>
        <v>9821047</v>
      </c>
      <c r="D34" s="110">
        <f t="shared" si="15"/>
        <v>21848337</v>
      </c>
      <c r="E34" s="110">
        <f t="shared" si="15"/>
        <v>5186941</v>
      </c>
      <c r="F34" s="110">
        <f t="shared" si="15"/>
        <v>11041269</v>
      </c>
      <c r="G34" s="110">
        <f t="shared" si="15"/>
        <v>1144365</v>
      </c>
      <c r="H34" s="110">
        <f t="shared" si="15"/>
        <v>2889670</v>
      </c>
      <c r="I34" s="110">
        <f t="shared" si="15"/>
        <v>1306943.8</v>
      </c>
      <c r="J34" s="110">
        <f t="shared" si="15"/>
        <v>4760273</v>
      </c>
      <c r="K34" s="110">
        <f t="shared" si="15"/>
        <v>4432221</v>
      </c>
      <c r="L34" s="110">
        <f t="shared" si="15"/>
        <v>2798575</v>
      </c>
      <c r="M34" s="110">
        <f t="shared" si="15"/>
        <v>243309</v>
      </c>
      <c r="N34" s="110">
        <f t="shared" si="15"/>
        <v>1267953</v>
      </c>
      <c r="O34" s="110">
        <f aca="true" t="shared" si="16" ref="O34:V34">SUM(O26:O29)+SUM(O31:O33)</f>
        <v>2581930.4</v>
      </c>
      <c r="P34" s="110">
        <f t="shared" si="16"/>
        <v>1126344</v>
      </c>
      <c r="Q34" s="110">
        <f t="shared" si="16"/>
        <v>654719</v>
      </c>
      <c r="R34" s="110">
        <f t="shared" si="16"/>
        <v>2725921</v>
      </c>
      <c r="S34" s="110">
        <f t="shared" si="16"/>
        <v>767185</v>
      </c>
      <c r="T34" s="110">
        <f>SUM(T26:T29)+SUM(T31:T33)</f>
        <v>42000</v>
      </c>
      <c r="U34" s="110">
        <f>SUM(U26:U29)+SUM(U31:U33)</f>
        <v>1441924</v>
      </c>
      <c r="V34" s="110">
        <f t="shared" si="16"/>
        <v>812509</v>
      </c>
      <c r="W34" s="110">
        <f aca="true" t="shared" si="17" ref="W34:AD34">SUM(W26:W29)+SUM(W31:W33)</f>
        <v>2028721</v>
      </c>
      <c r="X34" s="110">
        <f t="shared" si="17"/>
        <v>85535</v>
      </c>
      <c r="Y34" s="110">
        <f t="shared" si="17"/>
        <v>478882</v>
      </c>
      <c r="Z34" s="110">
        <f t="shared" si="17"/>
        <v>632410</v>
      </c>
      <c r="AA34" s="110">
        <f t="shared" si="17"/>
        <v>702854</v>
      </c>
      <c r="AB34" s="110">
        <f t="shared" si="17"/>
        <v>2066695</v>
      </c>
      <c r="AC34" s="110">
        <f t="shared" si="17"/>
        <v>759608</v>
      </c>
      <c r="AD34" s="110">
        <f t="shared" si="17"/>
        <v>1340962</v>
      </c>
      <c r="AE34" s="110">
        <f aca="true" t="shared" si="18" ref="AE34:BO34">SUM(AE26:AE29)+SUM(AE31:AE33)</f>
        <v>762063</v>
      </c>
      <c r="AF34" s="110">
        <f>SUM(AF26:AF29)+SUM(AF31:AF33)</f>
        <v>202673</v>
      </c>
      <c r="AG34" s="110">
        <f t="shared" si="18"/>
        <v>341147</v>
      </c>
      <c r="AH34" s="110">
        <f>SUM(AH26:AH29)+SUM(AH31:AH33)</f>
        <v>783846</v>
      </c>
      <c r="AI34" s="110">
        <f>SUM(AI26:AI29)+SUM(AI31:AI33)</f>
        <v>281775</v>
      </c>
      <c r="AJ34" s="110">
        <f t="shared" si="18"/>
        <v>538144</v>
      </c>
      <c r="AK34" s="110">
        <f t="shared" si="18"/>
        <v>828698</v>
      </c>
      <c r="AL34" s="110">
        <f t="shared" si="18"/>
        <v>1209724</v>
      </c>
      <c r="AM34" s="110">
        <f t="shared" si="18"/>
        <v>252663</v>
      </c>
      <c r="AN34" s="110">
        <f t="shared" si="18"/>
        <v>225072</v>
      </c>
      <c r="AO34" s="110">
        <f>SUM(AO26:AO29)+SUM(AO31:AO33)</f>
        <v>171107</v>
      </c>
      <c r="AP34" s="110">
        <f t="shared" si="18"/>
        <v>223995</v>
      </c>
      <c r="AQ34" s="110">
        <f t="shared" si="18"/>
        <v>327124</v>
      </c>
      <c r="AR34" s="110">
        <f>SUM(AR26:AR29)+SUM(AR31:AR33)</f>
        <v>48294</v>
      </c>
      <c r="AS34" s="110">
        <f t="shared" si="18"/>
        <v>271967</v>
      </c>
      <c r="AT34" s="110">
        <f>SUM(AT26:AT29)+SUM(AT31:AT33)</f>
        <v>89986</v>
      </c>
      <c r="AU34" s="110">
        <f t="shared" si="18"/>
        <v>115220</v>
      </c>
      <c r="AV34" s="110">
        <f>SUM(AV26:AV29)+SUM(AV31:AV33)</f>
        <v>256683</v>
      </c>
      <c r="AW34" s="110">
        <f t="shared" si="18"/>
        <v>141748</v>
      </c>
      <c r="AX34" s="110">
        <f t="shared" si="18"/>
        <v>6115</v>
      </c>
      <c r="AY34" s="110">
        <f>SUM(AY26:AY29)+SUM(AY31:AY33)</f>
        <v>4533</v>
      </c>
      <c r="AZ34" s="110">
        <f t="shared" si="18"/>
        <v>16064</v>
      </c>
      <c r="BA34" s="110">
        <f>SUM(BA26:BA29)+SUM(BA31:BA33)</f>
        <v>63615</v>
      </c>
      <c r="BB34" s="110">
        <f>SUM(BB26:BB31)+SUM(BB31:BB33)</f>
        <v>20448</v>
      </c>
      <c r="BC34" s="110">
        <f t="shared" si="18"/>
        <v>135712</v>
      </c>
      <c r="BD34" s="110">
        <f t="shared" si="18"/>
        <v>9558</v>
      </c>
      <c r="BE34" s="110">
        <f t="shared" si="18"/>
        <v>103462</v>
      </c>
      <c r="BF34" s="110">
        <f>SUM(BF26:BF29)+SUM(BF31:BF33)</f>
        <v>48653</v>
      </c>
      <c r="BG34" s="110">
        <f>SUM(BG26:BG29)+SUM(BG31:BG33)</f>
        <v>45009</v>
      </c>
      <c r="BH34" s="110">
        <f>SUM(BH26:BH29)+SUM(BH31:BH33)</f>
        <v>7890</v>
      </c>
      <c r="BI34" s="110">
        <f t="shared" si="18"/>
        <v>71022</v>
      </c>
      <c r="BJ34" s="110">
        <f t="shared" si="18"/>
        <v>12922</v>
      </c>
      <c r="BK34" s="110">
        <f>SUM(BK26:BK29)+SUM(BK31:BK33)</f>
        <v>10508</v>
      </c>
      <c r="BL34" s="110">
        <f t="shared" si="18"/>
        <v>0</v>
      </c>
      <c r="BM34" s="110">
        <f t="shared" si="18"/>
        <v>0</v>
      </c>
      <c r="BN34" s="110">
        <f t="shared" si="18"/>
        <v>13535</v>
      </c>
      <c r="BO34" s="110">
        <f t="shared" si="18"/>
        <v>0</v>
      </c>
      <c r="BP34" s="110"/>
      <c r="BQ34" s="110"/>
      <c r="BR34" s="110"/>
      <c r="BS34" s="114">
        <f t="shared" si="6"/>
        <v>108936554.2</v>
      </c>
      <c r="BT34" s="114">
        <f t="shared" si="7"/>
        <v>29107404</v>
      </c>
      <c r="BU34" s="114">
        <f t="shared" si="8"/>
        <v>35839730</v>
      </c>
      <c r="BV34" s="114">
        <f t="shared" si="9"/>
        <v>43092097.2</v>
      </c>
      <c r="BW34" s="114">
        <f t="shared" si="4"/>
        <v>108039231.2</v>
      </c>
      <c r="BX34" s="114">
        <f t="shared" si="10"/>
        <v>897323</v>
      </c>
      <c r="BY34" s="114"/>
      <c r="BZ34" s="114">
        <f t="shared" si="5"/>
        <v>108936554.2</v>
      </c>
      <c r="CA34" s="13"/>
      <c r="CB34" s="13"/>
    </row>
    <row r="35" spans="1:80" ht="7.5" customHeight="1">
      <c r="A35" s="17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14"/>
      <c r="BT35" s="114"/>
      <c r="BU35" s="114"/>
      <c r="BV35" s="114"/>
      <c r="BW35" s="114"/>
      <c r="BX35" s="114"/>
      <c r="BY35" s="114"/>
      <c r="BZ35" s="114"/>
      <c r="CA35" s="7"/>
      <c r="CB35" s="7"/>
    </row>
    <row r="36" spans="1:80" ht="12.75">
      <c r="A36" s="178" t="s">
        <v>440</v>
      </c>
      <c r="B36" s="10">
        <v>0</v>
      </c>
      <c r="C36" s="10">
        <v>0</v>
      </c>
      <c r="D36" s="10">
        <v>0</v>
      </c>
      <c r="E36" s="10">
        <v>0</v>
      </c>
      <c r="F36" s="10">
        <v>39633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93705</v>
      </c>
      <c r="M36" s="10">
        <v>9781</v>
      </c>
      <c r="N36" s="10">
        <v>0</v>
      </c>
      <c r="O36" s="10">
        <v>0</v>
      </c>
      <c r="P36" s="10">
        <v>0</v>
      </c>
      <c r="Q36" s="10">
        <v>36928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9779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4200</v>
      </c>
      <c r="AR36" s="10">
        <v>0</v>
      </c>
      <c r="AS36" s="10">
        <v>43498</v>
      </c>
      <c r="AT36" s="10">
        <v>0</v>
      </c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v>0</v>
      </c>
      <c r="BN36" s="10">
        <v>0</v>
      </c>
      <c r="BO36" s="10">
        <v>0</v>
      </c>
      <c r="BP36" s="10"/>
      <c r="BQ36" s="10"/>
      <c r="BR36" s="10"/>
      <c r="BS36" s="114">
        <f t="shared" si="6"/>
        <v>237524</v>
      </c>
      <c r="BT36" s="114">
        <f t="shared" si="7"/>
        <v>47698</v>
      </c>
      <c r="BU36" s="114">
        <f t="shared" si="8"/>
        <v>180045</v>
      </c>
      <c r="BV36" s="114">
        <f t="shared" si="9"/>
        <v>9781</v>
      </c>
      <c r="BW36" s="114">
        <f t="shared" si="4"/>
        <v>237524</v>
      </c>
      <c r="BX36" s="114">
        <f t="shared" si="10"/>
        <v>0</v>
      </c>
      <c r="BY36" s="114"/>
      <c r="BZ36" s="114">
        <f t="shared" si="5"/>
        <v>237524</v>
      </c>
      <c r="CA36" s="23"/>
      <c r="CB36" s="23"/>
    </row>
    <row r="37" spans="1:80" ht="12.75">
      <c r="A37" s="168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14"/>
      <c r="BT37" s="114"/>
      <c r="BU37" s="114"/>
      <c r="BV37" s="114"/>
      <c r="BW37" s="114"/>
      <c r="BX37" s="114"/>
      <c r="BY37" s="114"/>
      <c r="BZ37" s="114"/>
      <c r="CA37" s="23"/>
      <c r="CB37" s="23"/>
    </row>
    <row r="38" spans="1:80" ht="12.75" customHeight="1">
      <c r="A38" s="179" t="s">
        <v>442</v>
      </c>
      <c r="B38" s="10">
        <v>3565488</v>
      </c>
      <c r="C38" s="10">
        <v>2218188</v>
      </c>
      <c r="D38" s="10">
        <v>0</v>
      </c>
      <c r="E38" s="10">
        <v>426267</v>
      </c>
      <c r="F38" s="10">
        <v>0</v>
      </c>
      <c r="G38" s="10">
        <v>0</v>
      </c>
      <c r="H38" s="10">
        <v>605997</v>
      </c>
      <c r="I38" s="10">
        <v>6014951</v>
      </c>
      <c r="J38" s="10">
        <v>0</v>
      </c>
      <c r="K38" s="10">
        <v>50483</v>
      </c>
      <c r="L38" s="10">
        <v>98500</v>
      </c>
      <c r="M38" s="10">
        <v>3674642</v>
      </c>
      <c r="N38" s="10">
        <v>342771</v>
      </c>
      <c r="O38" s="10">
        <v>429014.4</v>
      </c>
      <c r="P38" s="10">
        <v>3291238</v>
      </c>
      <c r="Q38" s="10">
        <v>1176463</v>
      </c>
      <c r="R38" s="10">
        <v>142974</v>
      </c>
      <c r="S38" s="10">
        <v>292191</v>
      </c>
      <c r="T38" s="10">
        <v>498666</v>
      </c>
      <c r="U38" s="10">
        <v>226350</v>
      </c>
      <c r="V38" s="10">
        <v>357535</v>
      </c>
      <c r="W38" s="10">
        <v>226179.213</v>
      </c>
      <c r="X38" s="10">
        <v>3614517</v>
      </c>
      <c r="Y38" s="10">
        <v>2985254</v>
      </c>
      <c r="Z38" s="10">
        <v>172612</v>
      </c>
      <c r="AA38" s="10">
        <v>61158</v>
      </c>
      <c r="AB38" s="10">
        <v>0</v>
      </c>
      <c r="AC38" s="10">
        <v>120043</v>
      </c>
      <c r="AD38" s="10">
        <v>0</v>
      </c>
      <c r="AE38" s="10">
        <v>0</v>
      </c>
      <c r="AF38" s="10">
        <v>899904</v>
      </c>
      <c r="AG38" s="10">
        <v>1651723</v>
      </c>
      <c r="AH38" s="10">
        <v>363163</v>
      </c>
      <c r="AI38" s="10">
        <v>846800</v>
      </c>
      <c r="AJ38" s="10">
        <v>90949</v>
      </c>
      <c r="AK38" s="10">
        <v>182939</v>
      </c>
      <c r="AL38" s="10">
        <v>0</v>
      </c>
      <c r="AM38" s="10">
        <v>351854</v>
      </c>
      <c r="AN38" s="10">
        <v>636394</v>
      </c>
      <c r="AO38" s="10">
        <v>56110</v>
      </c>
      <c r="AP38" s="10">
        <v>102851</v>
      </c>
      <c r="AQ38" s="10">
        <v>139313</v>
      </c>
      <c r="AR38" s="10">
        <v>51988</v>
      </c>
      <c r="AS38" s="10">
        <v>63327</v>
      </c>
      <c r="AT38" s="10">
        <v>199584</v>
      </c>
      <c r="AU38" s="10">
        <v>4487</v>
      </c>
      <c r="AV38" s="10">
        <v>0</v>
      </c>
      <c r="AW38" s="10">
        <v>48592</v>
      </c>
      <c r="AX38" s="10">
        <v>22650</v>
      </c>
      <c r="AY38" s="10">
        <v>56322</v>
      </c>
      <c r="AZ38" s="10">
        <v>119728</v>
      </c>
      <c r="BA38" s="10">
        <v>96530</v>
      </c>
      <c r="BB38" s="10">
        <v>0</v>
      </c>
      <c r="BC38" s="10">
        <v>0</v>
      </c>
      <c r="BD38" s="10">
        <v>0</v>
      </c>
      <c r="BE38" s="10">
        <v>0</v>
      </c>
      <c r="BF38" s="10">
        <f>9601+5067</f>
        <v>14668</v>
      </c>
      <c r="BG38" s="10">
        <v>0</v>
      </c>
      <c r="BH38" s="10">
        <v>56721</v>
      </c>
      <c r="BI38" s="10">
        <v>0</v>
      </c>
      <c r="BJ38" s="10">
        <v>0</v>
      </c>
      <c r="BK38" s="10">
        <v>6576</v>
      </c>
      <c r="BL38" s="10">
        <v>0</v>
      </c>
      <c r="BM38" s="10">
        <v>0</v>
      </c>
      <c r="BN38" s="10">
        <v>0</v>
      </c>
      <c r="BO38" s="10">
        <v>0</v>
      </c>
      <c r="BP38" s="10"/>
      <c r="BQ38" s="10"/>
      <c r="BR38" s="10"/>
      <c r="BS38" s="114">
        <f t="shared" si="6"/>
        <v>36654654.613</v>
      </c>
      <c r="BT38" s="114">
        <f t="shared" si="7"/>
        <v>2204386.213</v>
      </c>
      <c r="BU38" s="114">
        <f t="shared" si="8"/>
        <v>7829872</v>
      </c>
      <c r="BV38" s="114">
        <f t="shared" si="9"/>
        <v>20299364.4</v>
      </c>
      <c r="BW38" s="114">
        <f t="shared" si="4"/>
        <v>30333622.612999998</v>
      </c>
      <c r="BX38" s="114">
        <f t="shared" si="10"/>
        <v>6321032</v>
      </c>
      <c r="BY38" s="114"/>
      <c r="BZ38" s="114">
        <f t="shared" si="5"/>
        <v>36654654.613</v>
      </c>
      <c r="CA38" s="23"/>
      <c r="CB38" s="23"/>
    </row>
    <row r="39" spans="1:80" ht="12.75">
      <c r="A39" s="176" t="s">
        <v>444</v>
      </c>
      <c r="B39" s="10">
        <v>3565488</v>
      </c>
      <c r="C39" s="10">
        <v>1230291</v>
      </c>
      <c r="D39" s="10">
        <v>0</v>
      </c>
      <c r="E39" s="10">
        <v>426267</v>
      </c>
      <c r="F39" s="10">
        <v>0</v>
      </c>
      <c r="G39" s="10">
        <v>0</v>
      </c>
      <c r="H39" s="10">
        <v>605997</v>
      </c>
      <c r="I39" s="10">
        <v>418701</v>
      </c>
      <c r="J39" s="10">
        <v>0</v>
      </c>
      <c r="K39" s="10">
        <v>46023</v>
      </c>
      <c r="L39" s="10">
        <v>31418</v>
      </c>
      <c r="M39" s="10">
        <v>1276587</v>
      </c>
      <c r="N39" s="10">
        <v>273079</v>
      </c>
      <c r="O39" s="10">
        <v>213280.1</v>
      </c>
      <c r="P39" s="10">
        <v>0</v>
      </c>
      <c r="Q39" s="10">
        <v>1176463</v>
      </c>
      <c r="R39" s="10">
        <v>142974</v>
      </c>
      <c r="S39" s="10">
        <v>292191</v>
      </c>
      <c r="T39" s="10">
        <v>498666</v>
      </c>
      <c r="U39" s="10">
        <v>0</v>
      </c>
      <c r="V39" s="10">
        <v>337395</v>
      </c>
      <c r="W39" s="10">
        <v>226179.213</v>
      </c>
      <c r="X39" s="10">
        <v>560654</v>
      </c>
      <c r="Y39" s="10">
        <v>571022</v>
      </c>
      <c r="Z39" s="10">
        <v>146950</v>
      </c>
      <c r="AA39" s="10">
        <v>0</v>
      </c>
      <c r="AB39" s="10">
        <v>0</v>
      </c>
      <c r="AC39" s="10">
        <v>120043</v>
      </c>
      <c r="AD39" s="10">
        <v>0</v>
      </c>
      <c r="AE39" s="10">
        <v>0</v>
      </c>
      <c r="AF39" s="10">
        <v>347312</v>
      </c>
      <c r="AG39" s="10">
        <v>87084</v>
      </c>
      <c r="AH39" s="10">
        <v>363163</v>
      </c>
      <c r="AI39" s="10">
        <v>100460</v>
      </c>
      <c r="AJ39" s="10">
        <v>51621</v>
      </c>
      <c r="AK39" s="10">
        <v>6006</v>
      </c>
      <c r="AL39" s="10">
        <v>0</v>
      </c>
      <c r="AM39" s="10">
        <v>6162</v>
      </c>
      <c r="AN39" s="10">
        <v>73073</v>
      </c>
      <c r="AO39" s="10">
        <v>56110</v>
      </c>
      <c r="AP39" s="10">
        <v>81508</v>
      </c>
      <c r="AQ39" s="10">
        <v>94763</v>
      </c>
      <c r="AR39" s="10">
        <v>34918</v>
      </c>
      <c r="AS39" s="10">
        <v>63327</v>
      </c>
      <c r="AT39" s="10">
        <v>102737</v>
      </c>
      <c r="AU39" s="10">
        <v>0</v>
      </c>
      <c r="AV39" s="10">
        <v>0</v>
      </c>
      <c r="AW39" s="10">
        <v>0</v>
      </c>
      <c r="AX39" s="10">
        <v>0</v>
      </c>
      <c r="AY39" s="10">
        <v>20322</v>
      </c>
      <c r="AZ39" s="10">
        <v>0</v>
      </c>
      <c r="BA39" s="10">
        <v>27764</v>
      </c>
      <c r="BB39" s="10">
        <v>0</v>
      </c>
      <c r="BC39" s="10">
        <v>0</v>
      </c>
      <c r="BD39" s="10">
        <v>0</v>
      </c>
      <c r="BE39" s="10">
        <v>0</v>
      </c>
      <c r="BF39" s="10">
        <v>5067</v>
      </c>
      <c r="BG39" s="10">
        <v>0</v>
      </c>
      <c r="BH39" s="10">
        <v>4395</v>
      </c>
      <c r="BI39" s="10">
        <v>0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v>0</v>
      </c>
      <c r="BP39" s="10"/>
      <c r="BQ39" s="10"/>
      <c r="BR39" s="10"/>
      <c r="BS39" s="114">
        <f t="shared" si="6"/>
        <v>13685460.313</v>
      </c>
      <c r="BT39" s="114">
        <f t="shared" si="7"/>
        <v>527463.213</v>
      </c>
      <c r="BU39" s="114">
        <f t="shared" si="8"/>
        <v>3202421</v>
      </c>
      <c r="BV39" s="114">
        <f t="shared" si="9"/>
        <v>8258348.1</v>
      </c>
      <c r="BW39" s="114">
        <f t="shared" si="4"/>
        <v>11988232.313</v>
      </c>
      <c r="BX39" s="114">
        <f t="shared" si="10"/>
        <v>1697228</v>
      </c>
      <c r="BY39" s="114"/>
      <c r="BZ39" s="114">
        <f t="shared" si="5"/>
        <v>13685460.313</v>
      </c>
      <c r="CA39" s="7"/>
      <c r="CB39" s="7"/>
    </row>
    <row r="40" spans="1:80" ht="12.75">
      <c r="A40" s="176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14"/>
      <c r="BT40" s="114"/>
      <c r="BU40" s="114"/>
      <c r="BV40" s="114"/>
      <c r="BW40" s="114"/>
      <c r="BX40" s="114"/>
      <c r="BY40" s="114"/>
      <c r="BZ40" s="114"/>
      <c r="CA40" s="7"/>
      <c r="CB40" s="7"/>
    </row>
    <row r="41" spans="1:80" ht="12.75">
      <c r="A41" s="180" t="s">
        <v>443</v>
      </c>
      <c r="B41" s="10">
        <v>0</v>
      </c>
      <c r="C41" s="10">
        <v>0</v>
      </c>
      <c r="D41" s="10">
        <v>891560</v>
      </c>
      <c r="E41" s="10">
        <v>1383901</v>
      </c>
      <c r="F41" s="10">
        <v>3879281</v>
      </c>
      <c r="G41" s="10">
        <v>975517</v>
      </c>
      <c r="H41" s="10">
        <v>0</v>
      </c>
      <c r="I41" s="10">
        <v>0</v>
      </c>
      <c r="J41" s="10">
        <v>531023</v>
      </c>
      <c r="K41" s="10">
        <v>702571</v>
      </c>
      <c r="L41" s="10">
        <v>838794</v>
      </c>
      <c r="M41" s="10">
        <v>19864</v>
      </c>
      <c r="N41" s="10">
        <v>312050</v>
      </c>
      <c r="O41" s="10">
        <v>1411696</v>
      </c>
      <c r="P41" s="10">
        <v>1049536</v>
      </c>
      <c r="Q41" s="10">
        <v>0</v>
      </c>
      <c r="R41" s="10">
        <v>0</v>
      </c>
      <c r="S41" s="10">
        <v>0</v>
      </c>
      <c r="T41" s="10">
        <v>9240</v>
      </c>
      <c r="U41" s="10">
        <v>23529</v>
      </c>
      <c r="V41" s="10">
        <v>0</v>
      </c>
      <c r="W41" s="10">
        <v>15322.704</v>
      </c>
      <c r="X41" s="10">
        <v>239711</v>
      </c>
      <c r="Y41" s="10">
        <v>16255</v>
      </c>
      <c r="Z41" s="10">
        <v>365847</v>
      </c>
      <c r="AA41" s="10">
        <v>38798</v>
      </c>
      <c r="AB41" s="10">
        <v>0</v>
      </c>
      <c r="AC41" s="10">
        <v>0</v>
      </c>
      <c r="AD41" s="10">
        <v>19954</v>
      </c>
      <c r="AE41" s="10">
        <v>0</v>
      </c>
      <c r="AF41" s="10">
        <v>4527</v>
      </c>
      <c r="AG41" s="10">
        <v>90170</v>
      </c>
      <c r="AH41" s="10">
        <v>0</v>
      </c>
      <c r="AI41" s="10">
        <v>0</v>
      </c>
      <c r="AJ41" s="10">
        <v>0</v>
      </c>
      <c r="AK41" s="10">
        <v>78158</v>
      </c>
      <c r="AL41" s="10">
        <v>429</v>
      </c>
      <c r="AM41" s="10">
        <v>101034</v>
      </c>
      <c r="AN41" s="10">
        <v>4550</v>
      </c>
      <c r="AO41" s="10">
        <v>83718</v>
      </c>
      <c r="AP41" s="10">
        <v>15983</v>
      </c>
      <c r="AQ41" s="10">
        <v>2002</v>
      </c>
      <c r="AR41" s="10">
        <v>0</v>
      </c>
      <c r="AS41" s="10">
        <v>31969</v>
      </c>
      <c r="AT41" s="10">
        <v>18078</v>
      </c>
      <c r="AU41" s="10">
        <v>6659</v>
      </c>
      <c r="AV41" s="10">
        <v>0</v>
      </c>
      <c r="AW41" s="10">
        <v>40410</v>
      </c>
      <c r="AX41" s="10">
        <v>0</v>
      </c>
      <c r="AY41" s="10">
        <v>0</v>
      </c>
      <c r="AZ41" s="10">
        <v>18432</v>
      </c>
      <c r="BA41" s="10">
        <v>5864.54</v>
      </c>
      <c r="BB41" s="10">
        <v>0</v>
      </c>
      <c r="BC41" s="10">
        <v>0</v>
      </c>
      <c r="BD41" s="10">
        <v>0</v>
      </c>
      <c r="BE41" s="10">
        <v>0</v>
      </c>
      <c r="BF41" s="10">
        <v>0</v>
      </c>
      <c r="BG41" s="10">
        <v>0</v>
      </c>
      <c r="BH41" s="10">
        <v>6114</v>
      </c>
      <c r="BI41" s="10">
        <v>0</v>
      </c>
      <c r="BJ41" s="10">
        <v>0</v>
      </c>
      <c r="BK41" s="10">
        <v>0</v>
      </c>
      <c r="BL41" s="10">
        <v>0</v>
      </c>
      <c r="BM41" s="10">
        <v>0</v>
      </c>
      <c r="BN41" s="10">
        <v>0</v>
      </c>
      <c r="BO41" s="10">
        <v>0</v>
      </c>
      <c r="BP41" s="10"/>
      <c r="BQ41" s="10"/>
      <c r="BR41" s="10"/>
      <c r="BS41" s="114">
        <f t="shared" si="6"/>
        <v>13232547.243999999</v>
      </c>
      <c r="BT41" s="114">
        <f t="shared" si="7"/>
        <v>1153539.704</v>
      </c>
      <c r="BU41" s="114">
        <f t="shared" si="8"/>
        <v>8208842</v>
      </c>
      <c r="BV41" s="114">
        <f t="shared" si="9"/>
        <v>3586631</v>
      </c>
      <c r="BW41" s="114">
        <f t="shared" si="4"/>
        <v>12949012.704</v>
      </c>
      <c r="BX41" s="114">
        <f t="shared" si="10"/>
        <v>283534.54</v>
      </c>
      <c r="BY41" s="114"/>
      <c r="BZ41" s="114">
        <f t="shared" si="5"/>
        <v>13232547.243999999</v>
      </c>
      <c r="CA41" s="23"/>
      <c r="CB41" s="23"/>
    </row>
    <row r="42" spans="1:80" ht="12.75" customHeight="1">
      <c r="A42" s="176" t="s">
        <v>445</v>
      </c>
      <c r="B42" s="10">
        <v>0</v>
      </c>
      <c r="C42" s="10">
        <v>0</v>
      </c>
      <c r="D42" s="10">
        <v>891560</v>
      </c>
      <c r="E42" s="10">
        <v>1383901</v>
      </c>
      <c r="F42" s="10">
        <v>3879281</v>
      </c>
      <c r="G42" s="10">
        <v>975517</v>
      </c>
      <c r="H42" s="10">
        <v>0</v>
      </c>
      <c r="I42" s="10">
        <v>0</v>
      </c>
      <c r="J42" s="10">
        <v>509882</v>
      </c>
      <c r="K42" s="10">
        <v>702571</v>
      </c>
      <c r="L42" s="10">
        <v>838794</v>
      </c>
      <c r="M42" s="10">
        <v>0</v>
      </c>
      <c r="N42" s="10">
        <v>312050</v>
      </c>
      <c r="O42" s="10">
        <v>1312311.5</v>
      </c>
      <c r="P42" s="10">
        <v>543559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15322.704</v>
      </c>
      <c r="X42" s="10">
        <v>0</v>
      </c>
      <c r="Y42" s="10">
        <v>0</v>
      </c>
      <c r="Z42" s="10">
        <v>365847</v>
      </c>
      <c r="AA42" s="10">
        <v>38798</v>
      </c>
      <c r="AB42" s="10">
        <v>0</v>
      </c>
      <c r="AC42" s="10">
        <v>0</v>
      </c>
      <c r="AD42" s="10">
        <v>19954</v>
      </c>
      <c r="AE42" s="10">
        <v>0</v>
      </c>
      <c r="AF42" s="10">
        <v>0</v>
      </c>
      <c r="AG42" s="10">
        <v>90170</v>
      </c>
      <c r="AH42" s="10">
        <v>0</v>
      </c>
      <c r="AI42" s="10">
        <v>0</v>
      </c>
      <c r="AJ42" s="10">
        <v>0</v>
      </c>
      <c r="AK42" s="10">
        <v>77780</v>
      </c>
      <c r="AL42" s="10">
        <v>429</v>
      </c>
      <c r="AM42" s="10">
        <v>93079</v>
      </c>
      <c r="AN42" s="10">
        <v>0</v>
      </c>
      <c r="AO42" s="10">
        <v>83718</v>
      </c>
      <c r="AP42" s="10">
        <v>0</v>
      </c>
      <c r="AQ42" s="10">
        <v>0</v>
      </c>
      <c r="AR42" s="10">
        <v>0</v>
      </c>
      <c r="AS42" s="10">
        <v>0</v>
      </c>
      <c r="AT42" s="10">
        <v>18078</v>
      </c>
      <c r="AU42" s="10">
        <v>6659</v>
      </c>
      <c r="AV42" s="10">
        <v>0</v>
      </c>
      <c r="AW42" s="10">
        <v>40410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v>0</v>
      </c>
      <c r="BN42" s="10">
        <v>0</v>
      </c>
      <c r="BO42" s="10">
        <v>0</v>
      </c>
      <c r="BP42" s="10"/>
      <c r="BQ42" s="10"/>
      <c r="BR42" s="10"/>
      <c r="BS42" s="114">
        <f t="shared" si="6"/>
        <v>12199671.204</v>
      </c>
      <c r="BT42" s="114">
        <f t="shared" si="7"/>
        <v>1119568.704</v>
      </c>
      <c r="BU42" s="114">
        <f t="shared" si="8"/>
        <v>7702487</v>
      </c>
      <c r="BV42" s="114">
        <f t="shared" si="9"/>
        <v>3359537.5</v>
      </c>
      <c r="BW42" s="114">
        <f t="shared" si="4"/>
        <v>12181593.204</v>
      </c>
      <c r="BX42" s="114">
        <f t="shared" si="10"/>
        <v>18078</v>
      </c>
      <c r="BY42" s="114"/>
      <c r="BZ42" s="114">
        <f t="shared" si="5"/>
        <v>12199671.204</v>
      </c>
      <c r="CA42" s="11"/>
      <c r="CB42" s="11"/>
    </row>
    <row r="43" spans="1:80" ht="12.75">
      <c r="A43" s="178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114"/>
      <c r="BT43" s="114"/>
      <c r="BU43" s="114"/>
      <c r="BV43" s="114"/>
      <c r="BW43" s="114"/>
      <c r="BX43" s="114"/>
      <c r="BY43" s="114"/>
      <c r="BZ43" s="114"/>
      <c r="CA43" s="11"/>
      <c r="CB43" s="11"/>
    </row>
    <row r="44" spans="1:80" s="169" customFormat="1" ht="12.75">
      <c r="A44" s="49" t="s">
        <v>446</v>
      </c>
      <c r="BS44" s="114"/>
      <c r="BT44" s="114"/>
      <c r="BU44" s="114"/>
      <c r="BV44" s="114"/>
      <c r="BW44" s="114"/>
      <c r="BX44" s="114"/>
      <c r="BZ44" s="114"/>
      <c r="CA44" s="13"/>
      <c r="CB44" s="13"/>
    </row>
    <row r="45" spans="1:80" ht="12.75">
      <c r="A45" s="181" t="s">
        <v>447</v>
      </c>
      <c r="B45" s="10">
        <v>4527030</v>
      </c>
      <c r="C45" s="10">
        <v>3915512</v>
      </c>
      <c r="D45" s="10">
        <v>165659</v>
      </c>
      <c r="E45" s="10">
        <v>1192518</v>
      </c>
      <c r="F45" s="10">
        <v>1766760</v>
      </c>
      <c r="G45" s="10">
        <f>2712557+1322</f>
        <v>2713879</v>
      </c>
      <c r="H45" s="10">
        <v>559974</v>
      </c>
      <c r="I45" s="10">
        <v>102142</v>
      </c>
      <c r="J45" s="10">
        <v>2651917</v>
      </c>
      <c r="K45" s="10">
        <v>1182896</v>
      </c>
      <c r="L45" s="10">
        <v>2193462</v>
      </c>
      <c r="M45" s="10">
        <v>322758</v>
      </c>
      <c r="N45" s="10">
        <v>693311</v>
      </c>
      <c r="O45" s="10">
        <v>1204844.9</v>
      </c>
      <c r="P45" s="10">
        <v>62089</v>
      </c>
      <c r="Q45" s="10">
        <v>610877</v>
      </c>
      <c r="R45" s="10">
        <v>733259</v>
      </c>
      <c r="S45" s="10">
        <v>758900</v>
      </c>
      <c r="T45" s="10">
        <f>435340-9240</f>
        <v>426100</v>
      </c>
      <c r="U45" s="10">
        <v>252466</v>
      </c>
      <c r="V45" s="10">
        <v>134282</v>
      </c>
      <c r="W45" s="10">
        <v>748</v>
      </c>
      <c r="X45" s="10">
        <v>0</v>
      </c>
      <c r="Y45" s="10">
        <v>1299</v>
      </c>
      <c r="Z45" s="10">
        <v>232358</v>
      </c>
      <c r="AA45" s="10">
        <v>4822</v>
      </c>
      <c r="AB45" s="10">
        <v>35</v>
      </c>
      <c r="AC45" s="10">
        <v>262383</v>
      </c>
      <c r="AD45" s="10">
        <v>154171</v>
      </c>
      <c r="AE45" s="10">
        <v>382659</v>
      </c>
      <c r="AF45" s="10">
        <f>261155-4527</f>
        <v>256628</v>
      </c>
      <c r="AG45" s="10">
        <v>0</v>
      </c>
      <c r="AH45" s="10">
        <v>341585</v>
      </c>
      <c r="AI45" s="10">
        <v>39295</v>
      </c>
      <c r="AJ45" s="10">
        <v>114561</v>
      </c>
      <c r="AK45" s="10">
        <v>51263</v>
      </c>
      <c r="AL45" s="10">
        <v>0</v>
      </c>
      <c r="AM45" s="10">
        <v>32538</v>
      </c>
      <c r="AN45" s="10">
        <v>688</v>
      </c>
      <c r="AO45" s="10">
        <v>16501</v>
      </c>
      <c r="AP45" s="10">
        <v>46746</v>
      </c>
      <c r="AQ45" s="10">
        <f>27493+8</f>
        <v>27501</v>
      </c>
      <c r="AR45" s="10">
        <v>114302</v>
      </c>
      <c r="AS45" s="10">
        <v>27175</v>
      </c>
      <c r="AT45" s="10">
        <v>27110</v>
      </c>
      <c r="AU45" s="10">
        <v>10016</v>
      </c>
      <c r="AV45" s="10">
        <v>0</v>
      </c>
      <c r="AW45" s="10">
        <v>11731</v>
      </c>
      <c r="AX45" s="10">
        <v>898</v>
      </c>
      <c r="AY45" s="10">
        <v>5473</v>
      </c>
      <c r="AZ45" s="10">
        <v>210</v>
      </c>
      <c r="BA45" s="10">
        <v>43109.394</v>
      </c>
      <c r="BB45" s="10">
        <v>504</v>
      </c>
      <c r="BC45" s="10">
        <v>5543</v>
      </c>
      <c r="BD45" s="10">
        <v>0</v>
      </c>
      <c r="BE45" s="10">
        <v>0</v>
      </c>
      <c r="BF45" s="10">
        <v>1847</v>
      </c>
      <c r="BG45" s="10">
        <v>12853</v>
      </c>
      <c r="BH45" s="10">
        <v>1791</v>
      </c>
      <c r="BI45" s="10">
        <v>0</v>
      </c>
      <c r="BJ45" s="10">
        <v>0</v>
      </c>
      <c r="BK45" s="10">
        <v>0</v>
      </c>
      <c r="BL45" s="10">
        <v>0</v>
      </c>
      <c r="BM45" s="10">
        <v>0</v>
      </c>
      <c r="BN45" s="10">
        <v>0</v>
      </c>
      <c r="BO45" s="10">
        <v>0</v>
      </c>
      <c r="BP45" s="10"/>
      <c r="BQ45" s="10"/>
      <c r="BR45" s="10"/>
      <c r="BS45" s="114">
        <f t="shared" si="6"/>
        <v>28398979.294</v>
      </c>
      <c r="BT45" s="114">
        <f t="shared" si="7"/>
        <v>643496</v>
      </c>
      <c r="BU45" s="114">
        <f t="shared" si="8"/>
        <v>14191323</v>
      </c>
      <c r="BV45" s="114">
        <f t="shared" si="9"/>
        <v>12650351.9</v>
      </c>
      <c r="BW45" s="114">
        <f t="shared" si="4"/>
        <v>27485170.9</v>
      </c>
      <c r="BX45" s="114">
        <f t="shared" si="10"/>
        <v>913808.394</v>
      </c>
      <c r="BY45" s="114"/>
      <c r="BZ45" s="114">
        <f t="shared" si="5"/>
        <v>28398979.294</v>
      </c>
      <c r="CA45" s="23"/>
      <c r="CB45" s="23"/>
    </row>
    <row r="46" spans="1:80" ht="12" customHeight="1">
      <c r="A46" s="181" t="s">
        <v>448</v>
      </c>
      <c r="B46" s="10">
        <v>4248922</v>
      </c>
      <c r="C46" s="10">
        <v>2699279</v>
      </c>
      <c r="D46" s="10">
        <v>574557</v>
      </c>
      <c r="E46" s="10">
        <v>1877101</v>
      </c>
      <c r="F46" s="10">
        <v>4308553</v>
      </c>
      <c r="G46" s="10">
        <v>1596917</v>
      </c>
      <c r="H46" s="10">
        <v>18960</v>
      </c>
      <c r="I46" s="10">
        <v>0</v>
      </c>
      <c r="J46" s="10">
        <v>0</v>
      </c>
      <c r="K46" s="10">
        <v>29808</v>
      </c>
      <c r="L46" s="10">
        <v>529486</v>
      </c>
      <c r="M46" s="10">
        <v>0</v>
      </c>
      <c r="N46" s="10">
        <v>881885</v>
      </c>
      <c r="O46" s="10">
        <v>93299</v>
      </c>
      <c r="P46" s="10">
        <v>0</v>
      </c>
      <c r="Q46" s="10">
        <v>114861</v>
      </c>
      <c r="R46" s="10">
        <v>2494411</v>
      </c>
      <c r="S46" s="10">
        <v>6460</v>
      </c>
      <c r="T46" s="10">
        <v>432655</v>
      </c>
      <c r="U46" s="10">
        <v>0</v>
      </c>
      <c r="V46" s="10">
        <v>0</v>
      </c>
      <c r="W46" s="10">
        <v>127679</v>
      </c>
      <c r="X46" s="10">
        <v>0</v>
      </c>
      <c r="Y46" s="10">
        <v>0</v>
      </c>
      <c r="Z46" s="10">
        <v>29288</v>
      </c>
      <c r="AA46" s="10">
        <v>574557</v>
      </c>
      <c r="AB46" s="10">
        <v>0</v>
      </c>
      <c r="AC46" s="10">
        <v>24827</v>
      </c>
      <c r="AD46" s="10">
        <v>0</v>
      </c>
      <c r="AE46" s="10">
        <v>0</v>
      </c>
      <c r="AF46" s="10">
        <v>0</v>
      </c>
      <c r="AG46" s="10">
        <v>0</v>
      </c>
      <c r="AH46" s="10">
        <v>361131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2606</v>
      </c>
      <c r="AR46" s="10">
        <v>21808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5285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v>0</v>
      </c>
      <c r="BN46" s="10">
        <v>0</v>
      </c>
      <c r="BO46" s="10">
        <v>0</v>
      </c>
      <c r="BP46" s="10"/>
      <c r="BQ46" s="10"/>
      <c r="BR46" s="10"/>
      <c r="BS46" s="114">
        <f t="shared" si="6"/>
        <v>21054335</v>
      </c>
      <c r="BT46" s="114">
        <f t="shared" si="7"/>
        <v>1279399</v>
      </c>
      <c r="BU46" s="114">
        <f t="shared" si="8"/>
        <v>10196537</v>
      </c>
      <c r="BV46" s="114">
        <f t="shared" si="9"/>
        <v>9118651</v>
      </c>
      <c r="BW46" s="114">
        <f t="shared" si="4"/>
        <v>20594587</v>
      </c>
      <c r="BX46" s="114">
        <f t="shared" si="10"/>
        <v>459748</v>
      </c>
      <c r="BY46" s="114"/>
      <c r="BZ46" s="114">
        <f t="shared" si="5"/>
        <v>21054335</v>
      </c>
      <c r="CA46" s="7"/>
      <c r="CB46" s="7"/>
    </row>
    <row r="47" spans="1:80" s="169" customFormat="1" ht="12.75">
      <c r="A47" s="128" t="s">
        <v>492</v>
      </c>
      <c r="B47" s="110">
        <f aca="true" t="shared" si="19" ref="B47:N47">SUM(B45:B46)</f>
        <v>8775952</v>
      </c>
      <c r="C47" s="110">
        <f t="shared" si="19"/>
        <v>6614791</v>
      </c>
      <c r="D47" s="110">
        <f t="shared" si="19"/>
        <v>740216</v>
      </c>
      <c r="E47" s="110">
        <f t="shared" si="19"/>
        <v>3069619</v>
      </c>
      <c r="F47" s="110">
        <f t="shared" si="19"/>
        <v>6075313</v>
      </c>
      <c r="G47" s="110">
        <f t="shared" si="19"/>
        <v>4310796</v>
      </c>
      <c r="H47" s="110">
        <f t="shared" si="19"/>
        <v>578934</v>
      </c>
      <c r="I47" s="110">
        <f t="shared" si="19"/>
        <v>102142</v>
      </c>
      <c r="J47" s="110">
        <f t="shared" si="19"/>
        <v>2651917</v>
      </c>
      <c r="K47" s="110">
        <f t="shared" si="19"/>
        <v>1212704</v>
      </c>
      <c r="L47" s="110">
        <f t="shared" si="19"/>
        <v>2722948</v>
      </c>
      <c r="M47" s="110">
        <f t="shared" si="19"/>
        <v>322758</v>
      </c>
      <c r="N47" s="110">
        <f t="shared" si="19"/>
        <v>1575196</v>
      </c>
      <c r="O47" s="110">
        <f aca="true" t="shared" si="20" ref="O47:V47">SUM(O45:O46)</f>
        <v>1298143.9</v>
      </c>
      <c r="P47" s="110">
        <f t="shared" si="20"/>
        <v>62089</v>
      </c>
      <c r="Q47" s="110">
        <f t="shared" si="20"/>
        <v>725738</v>
      </c>
      <c r="R47" s="110">
        <f t="shared" si="20"/>
        <v>3227670</v>
      </c>
      <c r="S47" s="110">
        <f t="shared" si="20"/>
        <v>765360</v>
      </c>
      <c r="T47" s="110">
        <f>SUM(T45:T46)</f>
        <v>858755</v>
      </c>
      <c r="U47" s="110">
        <f>SUM(U45:U46)</f>
        <v>252466</v>
      </c>
      <c r="V47" s="110">
        <f t="shared" si="20"/>
        <v>134282</v>
      </c>
      <c r="W47" s="110">
        <f aca="true" t="shared" si="21" ref="W47:AD47">SUM(W45:W46)</f>
        <v>128427</v>
      </c>
      <c r="X47" s="110">
        <f t="shared" si="21"/>
        <v>0</v>
      </c>
      <c r="Y47" s="110">
        <f t="shared" si="21"/>
        <v>1299</v>
      </c>
      <c r="Z47" s="110">
        <f t="shared" si="21"/>
        <v>261646</v>
      </c>
      <c r="AA47" s="110">
        <f t="shared" si="21"/>
        <v>579379</v>
      </c>
      <c r="AB47" s="110">
        <f t="shared" si="21"/>
        <v>35</v>
      </c>
      <c r="AC47" s="110">
        <f t="shared" si="21"/>
        <v>287210</v>
      </c>
      <c r="AD47" s="110">
        <f t="shared" si="21"/>
        <v>154171</v>
      </c>
      <c r="AE47" s="110">
        <f aca="true" t="shared" si="22" ref="AE47:BO47">SUM(AE45:AE46)</f>
        <v>382659</v>
      </c>
      <c r="AF47" s="110">
        <f>SUM(AF45:AF46)</f>
        <v>256628</v>
      </c>
      <c r="AG47" s="110">
        <f t="shared" si="22"/>
        <v>0</v>
      </c>
      <c r="AH47" s="110">
        <f>SUM(AH45:AH46)</f>
        <v>702716</v>
      </c>
      <c r="AI47" s="110">
        <f>SUM(AI45:AI46)</f>
        <v>39295</v>
      </c>
      <c r="AJ47" s="110">
        <f t="shared" si="22"/>
        <v>114561</v>
      </c>
      <c r="AK47" s="110">
        <f t="shared" si="22"/>
        <v>51263</v>
      </c>
      <c r="AL47" s="110">
        <f t="shared" si="22"/>
        <v>0</v>
      </c>
      <c r="AM47" s="110">
        <f t="shared" si="22"/>
        <v>32538</v>
      </c>
      <c r="AN47" s="110">
        <f t="shared" si="22"/>
        <v>688</v>
      </c>
      <c r="AO47" s="110">
        <f>SUM(AO45:AO46)</f>
        <v>16501</v>
      </c>
      <c r="AP47" s="110">
        <f t="shared" si="22"/>
        <v>46746</v>
      </c>
      <c r="AQ47" s="110">
        <f t="shared" si="22"/>
        <v>30107</v>
      </c>
      <c r="AR47" s="110">
        <f>SUM(AR45:AR46)</f>
        <v>136110</v>
      </c>
      <c r="AS47" s="110">
        <f t="shared" si="22"/>
        <v>27175</v>
      </c>
      <c r="AT47" s="110">
        <f>SUM(AT45:AT46)</f>
        <v>27110</v>
      </c>
      <c r="AU47" s="110">
        <f t="shared" si="22"/>
        <v>10016</v>
      </c>
      <c r="AV47" s="110">
        <f>SUM(AV45:AV46)</f>
        <v>0</v>
      </c>
      <c r="AW47" s="110">
        <f t="shared" si="22"/>
        <v>11731</v>
      </c>
      <c r="AX47" s="110">
        <f t="shared" si="22"/>
        <v>898</v>
      </c>
      <c r="AY47" s="110">
        <f>SUM(AY45:AY46)</f>
        <v>10758</v>
      </c>
      <c r="AZ47" s="110">
        <f t="shared" si="22"/>
        <v>210</v>
      </c>
      <c r="BA47" s="110">
        <f>SUM(BA45:BA46)</f>
        <v>43109.394</v>
      </c>
      <c r="BB47" s="110">
        <f t="shared" si="22"/>
        <v>504</v>
      </c>
      <c r="BC47" s="110">
        <f>SUM(BC45:BC46)</f>
        <v>5543</v>
      </c>
      <c r="BD47" s="110">
        <f t="shared" si="22"/>
        <v>0</v>
      </c>
      <c r="BE47" s="110">
        <f t="shared" si="22"/>
        <v>0</v>
      </c>
      <c r="BF47" s="110">
        <f>SUM(BF45:BF46)</f>
        <v>1847</v>
      </c>
      <c r="BG47" s="110">
        <f>SUM(BG45:BG46)</f>
        <v>12853</v>
      </c>
      <c r="BH47" s="110">
        <f>SUM(BH45:BH46)</f>
        <v>1791</v>
      </c>
      <c r="BI47" s="110">
        <f t="shared" si="22"/>
        <v>0</v>
      </c>
      <c r="BJ47" s="110">
        <f t="shared" si="22"/>
        <v>0</v>
      </c>
      <c r="BK47" s="110">
        <f>SUM(BK45:BK46)</f>
        <v>0</v>
      </c>
      <c r="BL47" s="110">
        <f t="shared" si="22"/>
        <v>0</v>
      </c>
      <c r="BM47" s="110">
        <f t="shared" si="22"/>
        <v>0</v>
      </c>
      <c r="BN47" s="110">
        <f t="shared" si="22"/>
        <v>0</v>
      </c>
      <c r="BO47" s="110">
        <f t="shared" si="22"/>
        <v>0</v>
      </c>
      <c r="BP47" s="110"/>
      <c r="BQ47" s="110"/>
      <c r="BR47" s="110"/>
      <c r="BS47" s="114">
        <f t="shared" si="6"/>
        <v>49453314.294</v>
      </c>
      <c r="BT47" s="114">
        <f t="shared" si="7"/>
        <v>1922895</v>
      </c>
      <c r="BU47" s="114">
        <f t="shared" si="8"/>
        <v>24387860</v>
      </c>
      <c r="BV47" s="114">
        <f t="shared" si="9"/>
        <v>21769002.9</v>
      </c>
      <c r="BW47" s="114">
        <f t="shared" si="4"/>
        <v>48079757.9</v>
      </c>
      <c r="BX47" s="114">
        <f t="shared" si="10"/>
        <v>1373556.394</v>
      </c>
      <c r="BY47" s="114"/>
      <c r="BZ47" s="114">
        <f t="shared" si="5"/>
        <v>49453314.294</v>
      </c>
      <c r="CA47" s="13"/>
      <c r="CB47" s="13"/>
    </row>
    <row r="48" spans="1:80" ht="12.75">
      <c r="A48" s="128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4"/>
      <c r="BT48" s="114"/>
      <c r="BU48" s="114"/>
      <c r="BV48" s="114"/>
      <c r="BW48" s="114"/>
      <c r="BX48" s="114"/>
      <c r="BY48" s="114"/>
      <c r="BZ48" s="114"/>
      <c r="CA48" s="23"/>
      <c r="CB48" s="23"/>
    </row>
    <row r="49" spans="1:80" ht="12.75" customHeight="1">
      <c r="A49" s="49" t="s">
        <v>449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436206</v>
      </c>
      <c r="H49" s="10">
        <v>0</v>
      </c>
      <c r="I49" s="10">
        <v>0</v>
      </c>
      <c r="J49" s="10">
        <v>13232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820818</v>
      </c>
      <c r="R49" s="10">
        <v>0</v>
      </c>
      <c r="S49" s="10">
        <v>28770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634656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1789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12143</v>
      </c>
      <c r="AR49" s="10">
        <v>0</v>
      </c>
      <c r="AS49" s="10">
        <v>0</v>
      </c>
      <c r="AT49" s="10">
        <v>0</v>
      </c>
      <c r="AU49" s="10">
        <v>123149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1600</v>
      </c>
      <c r="BM49" s="10">
        <v>0</v>
      </c>
      <c r="BN49" s="10">
        <v>0</v>
      </c>
      <c r="BO49" s="10">
        <v>0</v>
      </c>
      <c r="BP49" s="10"/>
      <c r="BQ49" s="10"/>
      <c r="BR49" s="10"/>
      <c r="BS49" s="114">
        <f t="shared" si="6"/>
        <v>2072363</v>
      </c>
      <c r="BT49" s="114">
        <f t="shared" si="7"/>
        <v>13743</v>
      </c>
      <c r="BU49" s="114">
        <f t="shared" si="8"/>
        <v>2043599</v>
      </c>
      <c r="BV49" s="114">
        <f t="shared" si="9"/>
        <v>15021</v>
      </c>
      <c r="BW49" s="114">
        <f t="shared" si="4"/>
        <v>2072363</v>
      </c>
      <c r="BX49" s="114">
        <f t="shared" si="10"/>
        <v>0</v>
      </c>
      <c r="BY49" s="114"/>
      <c r="BZ49" s="114">
        <f t="shared" si="5"/>
        <v>2072363</v>
      </c>
      <c r="CA49" s="7"/>
      <c r="CB49" s="7"/>
    </row>
    <row r="50" spans="1:80" s="218" customFormat="1" ht="8.25" customHeight="1">
      <c r="A50" s="214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6"/>
      <c r="BT50" s="216"/>
      <c r="BU50" s="216"/>
      <c r="BV50" s="216"/>
      <c r="BW50" s="216"/>
      <c r="BX50" s="216"/>
      <c r="BY50" s="216"/>
      <c r="BZ50" s="216"/>
      <c r="CA50" s="217"/>
      <c r="CB50" s="217"/>
    </row>
    <row r="51" spans="1:80" ht="12.75">
      <c r="A51" s="49" t="s">
        <v>450</v>
      </c>
      <c r="B51" s="10">
        <v>0</v>
      </c>
      <c r="C51" s="10">
        <v>34602.056</v>
      </c>
      <c r="D51" s="10">
        <v>9435.019</v>
      </c>
      <c r="E51" s="10">
        <v>5582</v>
      </c>
      <c r="F51" s="10">
        <v>2419</v>
      </c>
      <c r="G51" s="10">
        <v>263296</v>
      </c>
      <c r="H51" s="10">
        <v>0</v>
      </c>
      <c r="I51" s="10">
        <v>0</v>
      </c>
      <c r="J51" s="10">
        <v>255068</v>
      </c>
      <c r="K51" s="10">
        <v>80582</v>
      </c>
      <c r="L51" s="10">
        <v>73868</v>
      </c>
      <c r="M51" s="10">
        <v>2998751</v>
      </c>
      <c r="N51" s="10">
        <v>35352.377</v>
      </c>
      <c r="O51" s="10">
        <v>152100</v>
      </c>
      <c r="P51" s="10">
        <v>31777</v>
      </c>
      <c r="Q51" s="10">
        <v>6117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28386</v>
      </c>
      <c r="AA51" s="10">
        <v>0</v>
      </c>
      <c r="AB51" s="10">
        <v>0</v>
      </c>
      <c r="AC51" s="10">
        <v>10000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241.5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9621</v>
      </c>
      <c r="AV51" s="10">
        <v>652</v>
      </c>
      <c r="AW51" s="10">
        <v>0</v>
      </c>
      <c r="AX51" s="10">
        <v>0</v>
      </c>
      <c r="AY51" s="10">
        <v>0</v>
      </c>
      <c r="AZ51" s="10">
        <v>0</v>
      </c>
      <c r="BA51" s="10">
        <v>4394</v>
      </c>
      <c r="BB51" s="10">
        <v>0</v>
      </c>
      <c r="BC51" s="10">
        <v>0</v>
      </c>
      <c r="BD51" s="10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v>0</v>
      </c>
      <c r="BP51" s="10"/>
      <c r="BQ51" s="10"/>
      <c r="BR51" s="10"/>
      <c r="BS51" s="114">
        <f t="shared" si="6"/>
        <v>4002243.952</v>
      </c>
      <c r="BT51" s="114">
        <f t="shared" si="7"/>
        <v>10328.519</v>
      </c>
      <c r="BU51" s="114">
        <f t="shared" si="8"/>
        <v>566020.433</v>
      </c>
      <c r="BV51" s="114">
        <f t="shared" si="9"/>
        <v>3421501</v>
      </c>
      <c r="BW51" s="114">
        <f t="shared" si="4"/>
        <v>3997849.952</v>
      </c>
      <c r="BX51" s="114">
        <f t="shared" si="10"/>
        <v>4394</v>
      </c>
      <c r="BY51" s="114"/>
      <c r="BZ51" s="114">
        <f t="shared" si="5"/>
        <v>4002243.952</v>
      </c>
      <c r="CA51" s="23"/>
      <c r="CB51" s="23"/>
    </row>
    <row r="52" spans="1:80" ht="4.5" customHeight="1">
      <c r="A52" s="49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14"/>
      <c r="BT52" s="114"/>
      <c r="BU52" s="114"/>
      <c r="BV52" s="114"/>
      <c r="BW52" s="114"/>
      <c r="BX52" s="114"/>
      <c r="BY52" s="114"/>
      <c r="BZ52" s="114"/>
      <c r="CA52" s="23"/>
      <c r="CB52" s="23"/>
    </row>
    <row r="53" spans="1:80" ht="5.25" customHeight="1">
      <c r="A53" s="49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114"/>
      <c r="BT53" s="114"/>
      <c r="BU53" s="114"/>
      <c r="BV53" s="114"/>
      <c r="BW53" s="114"/>
      <c r="BX53" s="114"/>
      <c r="BY53" s="114"/>
      <c r="BZ53" s="114"/>
      <c r="CA53" s="23"/>
      <c r="CB53" s="23"/>
    </row>
    <row r="54" spans="1:80" s="169" customFormat="1" ht="12.75">
      <c r="A54" s="49" t="s">
        <v>462</v>
      </c>
      <c r="B54" s="110">
        <f aca="true" t="shared" si="23" ref="B54:BM54">B23+B34+B36+B38+B41+B47+B49+B51</f>
        <v>59693108</v>
      </c>
      <c r="C54" s="110">
        <f>C23+C34+C36+C38+C41+C47+C49+C51</f>
        <v>36478559.056</v>
      </c>
      <c r="D54" s="110">
        <f t="shared" si="23"/>
        <v>35032691.019</v>
      </c>
      <c r="E54" s="110">
        <f t="shared" si="23"/>
        <v>31382923</v>
      </c>
      <c r="F54" s="110">
        <f t="shared" si="23"/>
        <v>30460577</v>
      </c>
      <c r="G54" s="110">
        <f>G23+G34+G36+G38+G41+G47+G49+G51</f>
        <v>14644347</v>
      </c>
      <c r="H54" s="110">
        <f t="shared" si="23"/>
        <v>14598507</v>
      </c>
      <c r="I54" s="110">
        <f>I23+I34+I36+I38+I41+I47+I49+I51</f>
        <v>13099630.8</v>
      </c>
      <c r="J54" s="110">
        <f t="shared" si="23"/>
        <v>11788790</v>
      </c>
      <c r="K54" s="110">
        <f>K23+K34+K36+K38+K41+K47+K49+K51</f>
        <v>11181578</v>
      </c>
      <c r="L54" s="110">
        <f t="shared" si="23"/>
        <v>11119401</v>
      </c>
      <c r="M54" s="110">
        <f t="shared" si="23"/>
        <v>9824721</v>
      </c>
      <c r="N54" s="110">
        <f t="shared" si="23"/>
        <v>9696480.377</v>
      </c>
      <c r="O54" s="110">
        <f t="shared" si="23"/>
        <v>8757139.3</v>
      </c>
      <c r="P54" s="110">
        <f t="shared" si="23"/>
        <v>8092058</v>
      </c>
      <c r="Q54" s="110">
        <f t="shared" si="23"/>
        <v>7645459</v>
      </c>
      <c r="R54" s="110">
        <f t="shared" si="23"/>
        <v>7105292</v>
      </c>
      <c r="S54" s="110">
        <f t="shared" si="23"/>
        <v>5175631</v>
      </c>
      <c r="T54" s="110">
        <f>T23+T34+T36+T38+T41+T47+T49+T51</f>
        <v>5346029</v>
      </c>
      <c r="U54" s="110">
        <f>U23+U34+U36+U38+U41+U47+U49+U51</f>
        <v>5302368</v>
      </c>
      <c r="V54" s="110">
        <f t="shared" si="23"/>
        <v>5135409</v>
      </c>
      <c r="W54" s="110">
        <f t="shared" si="23"/>
        <v>4614883.916999999</v>
      </c>
      <c r="X54" s="110">
        <f>X23+X34+X36+X38+X41+X47+X49+X51</f>
        <v>4414401</v>
      </c>
      <c r="Y54" s="110">
        <f>Y23+Y34+Y36+Y38+Y41+Y47+Y49+Y51</f>
        <v>4067015</v>
      </c>
      <c r="Z54" s="110">
        <f t="shared" si="23"/>
        <v>3864323</v>
      </c>
      <c r="AA54" s="110">
        <f>AA23+AA34+AA36+AA38+AA41+AA47+AA49+AA51</f>
        <v>3182759</v>
      </c>
      <c r="AB54" s="110">
        <f t="shared" si="23"/>
        <v>2078029</v>
      </c>
      <c r="AC54" s="110">
        <f t="shared" si="23"/>
        <v>1985370</v>
      </c>
      <c r="AD54" s="110">
        <f t="shared" si="23"/>
        <v>2478533</v>
      </c>
      <c r="AE54" s="110">
        <f t="shared" si="23"/>
        <v>2315660</v>
      </c>
      <c r="AF54" s="110">
        <f>AF23+AF34+AF36+AF38+AF41+AF47+AF49+AF51</f>
        <v>2239039</v>
      </c>
      <c r="AG54" s="110">
        <f t="shared" si="23"/>
        <v>2138654</v>
      </c>
      <c r="AH54" s="110">
        <f>AH23+AH34+AH36+AH38+AH41+AH47+AH49+AH51</f>
        <v>2144246</v>
      </c>
      <c r="AI54" s="110">
        <f>AI23+AI34+AI36+AI38+AI41+AI47+AI49+AI51</f>
        <v>2002311</v>
      </c>
      <c r="AJ54" s="110">
        <f t="shared" si="23"/>
        <v>1679048</v>
      </c>
      <c r="AK54" s="110">
        <f t="shared" si="23"/>
        <v>1646297</v>
      </c>
      <c r="AL54" s="110">
        <f t="shared" si="23"/>
        <v>1230497</v>
      </c>
      <c r="AM54" s="110">
        <f t="shared" si="23"/>
        <v>1382505</v>
      </c>
      <c r="AN54" s="110">
        <f t="shared" si="23"/>
        <v>1284687</v>
      </c>
      <c r="AO54" s="110">
        <f>AO23+AO34+AO36+AO38+AO41+AO47+AO49+AO51</f>
        <v>968563.5</v>
      </c>
      <c r="AP54" s="110">
        <f t="shared" si="23"/>
        <v>1054417</v>
      </c>
      <c r="AQ54" s="110">
        <f t="shared" si="23"/>
        <v>935359</v>
      </c>
      <c r="AR54" s="110">
        <f>AR23+AR34+AR36+AR38+AR41+AR47+AR49+AR51</f>
        <v>869032</v>
      </c>
      <c r="AS54" s="110">
        <f t="shared" si="23"/>
        <v>840314</v>
      </c>
      <c r="AT54" s="110">
        <f>AT23+AT34+AT36+AT38+AT41+AT47+AT49+AT51</f>
        <v>842781</v>
      </c>
      <c r="AU54" s="110">
        <f t="shared" si="23"/>
        <v>779393</v>
      </c>
      <c r="AV54" s="110">
        <f>AV23+AV34+AV36+AV38+AV41+AV47+AV49+AV51</f>
        <v>651907</v>
      </c>
      <c r="AW54" s="110">
        <f t="shared" si="23"/>
        <v>630831</v>
      </c>
      <c r="AX54" s="110">
        <f t="shared" si="23"/>
        <v>534737</v>
      </c>
      <c r="AY54" s="110">
        <f>AY23+AY34+AY36+AY38+AY41+AY47+AY49+AY51</f>
        <v>418352</v>
      </c>
      <c r="AZ54" s="110">
        <f t="shared" si="23"/>
        <v>432661</v>
      </c>
      <c r="BA54" s="110">
        <f>BA23+BA34+BA36+BA38+BA41+BA47+BA49+BA51</f>
        <v>419319.934</v>
      </c>
      <c r="BB54" s="110">
        <f t="shared" si="23"/>
        <v>380052</v>
      </c>
      <c r="BC54" s="110">
        <f t="shared" si="23"/>
        <v>327638</v>
      </c>
      <c r="BD54" s="110">
        <f t="shared" si="23"/>
        <v>218611</v>
      </c>
      <c r="BE54" s="110">
        <f t="shared" si="23"/>
        <v>103462</v>
      </c>
      <c r="BF54" s="110">
        <f t="shared" si="23"/>
        <v>156846</v>
      </c>
      <c r="BG54" s="110">
        <f>BG23+BG34+BG36+BG38+BG41+BG47+BG49+BG51</f>
        <v>112348</v>
      </c>
      <c r="BH54" s="110">
        <f>BH23+BH34+BH36+BH38+BH41+BH47+BH49+BH51</f>
        <v>131443</v>
      </c>
      <c r="BI54" s="110">
        <f t="shared" si="23"/>
        <v>97850</v>
      </c>
      <c r="BJ54" s="110">
        <f t="shared" si="23"/>
        <v>49182</v>
      </c>
      <c r="BK54" s="110">
        <f>BK23+BK34+BK36+BK38+BK41+BK47+BK49+BK51</f>
        <v>17084</v>
      </c>
      <c r="BL54" s="110">
        <f t="shared" si="23"/>
        <v>35508</v>
      </c>
      <c r="BM54" s="110">
        <f t="shared" si="23"/>
        <v>10604</v>
      </c>
      <c r="BN54" s="110">
        <f>BN23+BN34+BN36+BN38+BN41+BN47+BN49+BN51</f>
        <v>13535</v>
      </c>
      <c r="BO54" s="110">
        <f>BO23+BO34+BO36+BO38+BO41+BO47+BO49+BO51</f>
        <v>0</v>
      </c>
      <c r="BP54" s="110"/>
      <c r="BQ54" s="110"/>
      <c r="BR54" s="110"/>
      <c r="BS54" s="114">
        <f t="shared" si="6"/>
        <v>397340786.903</v>
      </c>
      <c r="BT54" s="114">
        <f t="shared" si="7"/>
        <v>53636188.436000004</v>
      </c>
      <c r="BU54" s="114">
        <f t="shared" si="8"/>
        <v>142014600.433</v>
      </c>
      <c r="BV54" s="114">
        <f t="shared" si="9"/>
        <v>184909440.10000002</v>
      </c>
      <c r="BW54" s="114">
        <f t="shared" si="4"/>
        <v>380560228.96900004</v>
      </c>
      <c r="BX54" s="114">
        <f t="shared" si="10"/>
        <v>16780557.934</v>
      </c>
      <c r="BY54" s="114"/>
      <c r="BZ54" s="114">
        <f t="shared" si="5"/>
        <v>397340786.90300006</v>
      </c>
      <c r="CA54" s="34"/>
      <c r="CB54" s="34"/>
    </row>
    <row r="55" spans="1:80" ht="4.5" customHeight="1">
      <c r="A55" s="4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14"/>
      <c r="BT55" s="114"/>
      <c r="BU55" s="114"/>
      <c r="BV55" s="114"/>
      <c r="BW55" s="114"/>
      <c r="BX55" s="114"/>
      <c r="BY55" s="114"/>
      <c r="BZ55" s="114"/>
      <c r="CA55" s="7"/>
      <c r="CB55" s="7"/>
    </row>
    <row r="56" spans="1:80" ht="12" customHeight="1">
      <c r="A56" s="182" t="s">
        <v>538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114"/>
      <c r="BT56" s="114"/>
      <c r="BU56" s="114"/>
      <c r="BV56" s="114"/>
      <c r="BW56" s="114"/>
      <c r="BX56" s="114"/>
      <c r="BY56" s="114"/>
      <c r="BZ56" s="114"/>
      <c r="CA56" s="23"/>
      <c r="CB56" s="23"/>
    </row>
    <row r="57" spans="1:80" ht="9" customHeight="1">
      <c r="A57" s="205" t="s">
        <v>540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114"/>
      <c r="BT57" s="114"/>
      <c r="BU57" s="114"/>
      <c r="BV57" s="114"/>
      <c r="BW57" s="114"/>
      <c r="BX57" s="114"/>
      <c r="BY57" s="114"/>
      <c r="BZ57" s="114"/>
      <c r="CA57" s="23"/>
      <c r="CB57" s="23"/>
    </row>
    <row r="58" spans="1:78" ht="11.25" customHeight="1">
      <c r="A58" s="183" t="s">
        <v>453</v>
      </c>
      <c r="B58" s="3">
        <v>4441041</v>
      </c>
      <c r="C58" s="3">
        <v>3710326</v>
      </c>
      <c r="D58" s="3">
        <v>165182</v>
      </c>
      <c r="E58" s="3">
        <v>1147424</v>
      </c>
      <c r="F58" s="3">
        <v>1718086</v>
      </c>
      <c r="G58" s="3">
        <v>2566058</v>
      </c>
      <c r="H58" s="3">
        <v>558987</v>
      </c>
      <c r="I58" s="3">
        <v>102142</v>
      </c>
      <c r="J58" s="3">
        <v>1858600</v>
      </c>
      <c r="K58" s="3">
        <v>1126930</v>
      </c>
      <c r="L58" s="3">
        <v>1810362</v>
      </c>
      <c r="M58" s="10">
        <v>242379</v>
      </c>
      <c r="N58" s="3">
        <v>683770</v>
      </c>
      <c r="O58" s="3">
        <v>1123531</v>
      </c>
      <c r="P58" s="3">
        <v>26287</v>
      </c>
      <c r="Q58" s="3">
        <v>592511</v>
      </c>
      <c r="R58" s="3">
        <v>733172</v>
      </c>
      <c r="S58" s="3">
        <v>703140</v>
      </c>
      <c r="T58" s="3">
        <f>435340-9240</f>
        <v>426100</v>
      </c>
      <c r="U58" s="3">
        <v>252466</v>
      </c>
      <c r="V58" s="3">
        <v>130594</v>
      </c>
      <c r="W58" s="3">
        <v>688</v>
      </c>
      <c r="X58" s="3">
        <v>0</v>
      </c>
      <c r="Y58" s="3">
        <v>1299</v>
      </c>
      <c r="Z58" s="3">
        <v>205103</v>
      </c>
      <c r="AA58" s="3">
        <v>4813</v>
      </c>
      <c r="AB58" s="3">
        <v>0</v>
      </c>
      <c r="AC58" s="3">
        <v>250014</v>
      </c>
      <c r="AD58" s="3">
        <v>154171</v>
      </c>
      <c r="AE58" s="3">
        <v>382659</v>
      </c>
      <c r="AF58" s="3">
        <f>225087-4527</f>
        <v>220560</v>
      </c>
      <c r="AG58" s="3">
        <v>0</v>
      </c>
      <c r="AH58" s="3">
        <v>214601</v>
      </c>
      <c r="AI58" s="3">
        <v>39295</v>
      </c>
      <c r="AJ58" s="3">
        <v>103271</v>
      </c>
      <c r="AK58" s="3">
        <v>41082</v>
      </c>
      <c r="AL58" s="3">
        <v>0</v>
      </c>
      <c r="AM58" s="3">
        <v>32538</v>
      </c>
      <c r="AN58" s="3">
        <v>688</v>
      </c>
      <c r="AO58" s="3">
        <v>16501</v>
      </c>
      <c r="AP58" s="3">
        <v>40183</v>
      </c>
      <c r="AQ58" s="3">
        <f>25818+8</f>
        <v>25826</v>
      </c>
      <c r="AR58" s="3">
        <v>96988</v>
      </c>
      <c r="AS58" s="3">
        <v>25875</v>
      </c>
      <c r="AT58" s="3">
        <v>27110</v>
      </c>
      <c r="AU58" s="3">
        <v>9010</v>
      </c>
      <c r="AV58" s="3">
        <v>0</v>
      </c>
      <c r="AW58" s="3">
        <v>9231</v>
      </c>
      <c r="AX58" s="3">
        <v>891</v>
      </c>
      <c r="AY58" s="3">
        <v>5283</v>
      </c>
      <c r="AZ58" s="3">
        <v>204</v>
      </c>
      <c r="BA58" s="3">
        <v>36001.613</v>
      </c>
      <c r="BB58" s="3">
        <v>504</v>
      </c>
      <c r="BC58" s="3">
        <v>0</v>
      </c>
      <c r="BD58" s="3">
        <v>0</v>
      </c>
      <c r="BE58" s="3">
        <v>0</v>
      </c>
      <c r="BF58" s="10">
        <v>1847</v>
      </c>
      <c r="BG58" s="3">
        <v>12853</v>
      </c>
      <c r="BH58" s="3">
        <v>1791</v>
      </c>
      <c r="BI58" s="3">
        <v>0</v>
      </c>
      <c r="BJ58" s="3">
        <v>0</v>
      </c>
      <c r="BK58" s="3">
        <v>0</v>
      </c>
      <c r="BL58" s="3">
        <v>0</v>
      </c>
      <c r="BM58" s="3">
        <v>0</v>
      </c>
      <c r="BN58" s="3">
        <v>0</v>
      </c>
      <c r="BO58" s="3">
        <v>0</v>
      </c>
      <c r="BP58" s="3"/>
      <c r="BQ58" s="3"/>
      <c r="BR58" s="3"/>
      <c r="BS58" s="114">
        <f t="shared" si="6"/>
        <v>26079968.613</v>
      </c>
      <c r="BT58" s="114">
        <f t="shared" si="7"/>
        <v>634397</v>
      </c>
      <c r="BU58" s="114">
        <f t="shared" si="8"/>
        <v>13192665</v>
      </c>
      <c r="BV58" s="114">
        <f t="shared" si="9"/>
        <v>11399778</v>
      </c>
      <c r="BW58" s="114">
        <f t="shared" si="4"/>
        <v>25226840</v>
      </c>
      <c r="BX58" s="114">
        <f t="shared" si="10"/>
        <v>853128.613</v>
      </c>
      <c r="BY58" s="114"/>
      <c r="BZ58" s="114">
        <f t="shared" si="5"/>
        <v>26079968.613</v>
      </c>
    </row>
    <row r="59" spans="1:78" ht="11.25" customHeight="1">
      <c r="A59" s="183" t="s">
        <v>451</v>
      </c>
      <c r="B59" s="3">
        <v>4248922</v>
      </c>
      <c r="C59" s="3">
        <v>2699278</v>
      </c>
      <c r="D59" s="3">
        <v>574557</v>
      </c>
      <c r="E59" s="3">
        <v>1848619</v>
      </c>
      <c r="F59" s="10">
        <v>4308553</v>
      </c>
      <c r="G59" s="3">
        <v>1458586</v>
      </c>
      <c r="H59" s="3">
        <v>18960</v>
      </c>
      <c r="I59" s="3">
        <v>0</v>
      </c>
      <c r="J59" s="3">
        <v>0</v>
      </c>
      <c r="K59" s="3">
        <v>0</v>
      </c>
      <c r="L59" s="3">
        <v>529486</v>
      </c>
      <c r="M59" s="10">
        <v>0</v>
      </c>
      <c r="N59" s="3">
        <v>881885</v>
      </c>
      <c r="O59" s="3">
        <v>0</v>
      </c>
      <c r="P59" s="3">
        <v>5087</v>
      </c>
      <c r="Q59" s="3">
        <v>57611</v>
      </c>
      <c r="R59" s="3">
        <v>2448660</v>
      </c>
      <c r="S59" s="3">
        <v>0</v>
      </c>
      <c r="T59" s="3">
        <v>432655</v>
      </c>
      <c r="U59" s="3">
        <v>0</v>
      </c>
      <c r="V59" s="3">
        <v>3688</v>
      </c>
      <c r="W59" s="3">
        <v>127679</v>
      </c>
      <c r="X59" s="3">
        <v>0</v>
      </c>
      <c r="Y59" s="3">
        <v>0</v>
      </c>
      <c r="Z59" s="3">
        <v>29288</v>
      </c>
      <c r="AA59" s="3">
        <v>574557</v>
      </c>
      <c r="AB59" s="3">
        <v>0</v>
      </c>
      <c r="AC59" s="3">
        <v>24827</v>
      </c>
      <c r="AD59" s="3">
        <v>0</v>
      </c>
      <c r="AE59" s="3">
        <v>0</v>
      </c>
      <c r="AF59" s="3">
        <v>0</v>
      </c>
      <c r="AG59" s="3">
        <v>0</v>
      </c>
      <c r="AH59" s="3">
        <v>361131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600</v>
      </c>
      <c r="AQ59" s="3">
        <v>1675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190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/>
      <c r="BQ59" s="3"/>
      <c r="BR59" s="3"/>
      <c r="BS59" s="114">
        <f t="shared" si="6"/>
        <v>20636494</v>
      </c>
      <c r="BT59" s="114">
        <f t="shared" si="7"/>
        <v>1278468</v>
      </c>
      <c r="BU59" s="114">
        <f t="shared" si="8"/>
        <v>9969774</v>
      </c>
      <c r="BV59" s="114">
        <f t="shared" si="9"/>
        <v>8955407</v>
      </c>
      <c r="BW59" s="114">
        <f t="shared" si="4"/>
        <v>20203649</v>
      </c>
      <c r="BX59" s="114">
        <f t="shared" si="10"/>
        <v>432845</v>
      </c>
      <c r="BY59" s="114"/>
      <c r="BZ59" s="114">
        <f t="shared" si="5"/>
        <v>20636494</v>
      </c>
    </row>
    <row r="60" spans="1:78" ht="11.25" customHeight="1">
      <c r="A60" s="183" t="s">
        <v>452</v>
      </c>
      <c r="B60" s="3">
        <v>85989</v>
      </c>
      <c r="C60" s="3">
        <v>205187</v>
      </c>
      <c r="D60" s="3">
        <v>477</v>
      </c>
      <c r="E60" s="3">
        <v>73576</v>
      </c>
      <c r="F60" s="3">
        <v>48674</v>
      </c>
      <c r="G60" s="3">
        <f>284830+1322</f>
        <v>286152</v>
      </c>
      <c r="H60" s="3">
        <v>987</v>
      </c>
      <c r="I60" s="3">
        <v>0</v>
      </c>
      <c r="J60" s="3">
        <v>793317</v>
      </c>
      <c r="K60" s="3">
        <v>85774</v>
      </c>
      <c r="L60" s="3">
        <v>383100</v>
      </c>
      <c r="M60" s="10">
        <v>80379</v>
      </c>
      <c r="N60" s="3">
        <v>9541</v>
      </c>
      <c r="O60" s="3">
        <v>174613</v>
      </c>
      <c r="P60" s="3">
        <v>30715</v>
      </c>
      <c r="Q60" s="3">
        <v>75616</v>
      </c>
      <c r="R60" s="3">
        <v>45838</v>
      </c>
      <c r="S60" s="3">
        <v>62220</v>
      </c>
      <c r="T60" s="3">
        <v>0</v>
      </c>
      <c r="U60" s="3">
        <v>0</v>
      </c>
      <c r="V60" s="3">
        <v>0</v>
      </c>
      <c r="W60" s="3">
        <v>61</v>
      </c>
      <c r="X60" s="3">
        <v>0</v>
      </c>
      <c r="Y60" s="3">
        <v>0</v>
      </c>
      <c r="Z60" s="3">
        <v>27255</v>
      </c>
      <c r="AA60" s="3">
        <v>9</v>
      </c>
      <c r="AB60" s="3">
        <v>35</v>
      </c>
      <c r="AC60" s="3">
        <v>12369</v>
      </c>
      <c r="AD60" s="3">
        <v>0</v>
      </c>
      <c r="AE60" s="3">
        <v>0</v>
      </c>
      <c r="AF60" s="3">
        <v>36068</v>
      </c>
      <c r="AG60" s="3">
        <v>0</v>
      </c>
      <c r="AH60" s="3">
        <v>126984</v>
      </c>
      <c r="AI60" s="3">
        <v>0</v>
      </c>
      <c r="AJ60" s="3">
        <v>11290</v>
      </c>
      <c r="AK60" s="3">
        <v>10181</v>
      </c>
      <c r="AL60" s="3">
        <v>0</v>
      </c>
      <c r="AM60" s="3">
        <v>0</v>
      </c>
      <c r="AN60" s="3">
        <v>0</v>
      </c>
      <c r="AO60" s="3">
        <v>0</v>
      </c>
      <c r="AP60" s="3">
        <v>5963</v>
      </c>
      <c r="AQ60" s="3">
        <v>2606</v>
      </c>
      <c r="AR60" s="3">
        <v>39122</v>
      </c>
      <c r="AS60" s="3">
        <v>1300</v>
      </c>
      <c r="AT60" s="3">
        <v>0</v>
      </c>
      <c r="AU60" s="3">
        <v>1006</v>
      </c>
      <c r="AV60" s="3">
        <v>0</v>
      </c>
      <c r="AW60" s="3">
        <v>2500</v>
      </c>
      <c r="AX60" s="3">
        <v>7</v>
      </c>
      <c r="AY60" s="3">
        <v>5285</v>
      </c>
      <c r="AZ60" s="3">
        <v>6</v>
      </c>
      <c r="BA60" s="3">
        <v>7107.781</v>
      </c>
      <c r="BB60" s="3">
        <v>0</v>
      </c>
      <c r="BC60" s="10">
        <v>5543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3">
        <v>0</v>
      </c>
      <c r="BM60" s="3">
        <v>0</v>
      </c>
      <c r="BN60" s="3">
        <v>0</v>
      </c>
      <c r="BO60" s="3">
        <v>0</v>
      </c>
      <c r="BP60" s="3"/>
      <c r="BQ60" s="3"/>
      <c r="BR60" s="3"/>
      <c r="BS60" s="114">
        <f t="shared" si="6"/>
        <v>2736852.781</v>
      </c>
      <c r="BT60" s="114">
        <f t="shared" si="7"/>
        <v>10031</v>
      </c>
      <c r="BU60" s="114">
        <f t="shared" si="8"/>
        <v>1225421</v>
      </c>
      <c r="BV60" s="114">
        <f t="shared" si="9"/>
        <v>1413818</v>
      </c>
      <c r="BW60" s="114">
        <f t="shared" si="4"/>
        <v>2649270</v>
      </c>
      <c r="BX60" s="114">
        <f t="shared" si="10"/>
        <v>87582.781</v>
      </c>
      <c r="BY60" s="114"/>
      <c r="BZ60" s="114">
        <f t="shared" si="5"/>
        <v>2736852.781</v>
      </c>
    </row>
    <row r="61" spans="1:80" ht="11.25" customHeight="1">
      <c r="A61" s="206" t="s">
        <v>539</v>
      </c>
      <c r="B61" s="23">
        <f>SUM(B58:B60)</f>
        <v>8775952</v>
      </c>
      <c r="C61" s="23">
        <f>SUM(C58:C60)</f>
        <v>6614791</v>
      </c>
      <c r="D61" s="23">
        <f aca="true" t="shared" si="24" ref="D61:BN61">SUM(D58:D60)</f>
        <v>740216</v>
      </c>
      <c r="E61" s="23">
        <f t="shared" si="24"/>
        <v>3069619</v>
      </c>
      <c r="F61" s="23">
        <f t="shared" si="24"/>
        <v>6075313</v>
      </c>
      <c r="G61" s="23">
        <f>SUM(G58:G60)</f>
        <v>4310796</v>
      </c>
      <c r="H61" s="23">
        <f t="shared" si="24"/>
        <v>578934</v>
      </c>
      <c r="I61" s="23">
        <f>SUM(I58:I60)</f>
        <v>102142</v>
      </c>
      <c r="J61" s="23">
        <f t="shared" si="24"/>
        <v>2651917</v>
      </c>
      <c r="K61" s="23">
        <f>SUM(K58:K60)</f>
        <v>1212704</v>
      </c>
      <c r="L61" s="23">
        <f t="shared" si="24"/>
        <v>2722948</v>
      </c>
      <c r="M61" s="23">
        <f>SUM(M58:M60)</f>
        <v>322758</v>
      </c>
      <c r="N61" s="23">
        <f>SUM(N58:N60)</f>
        <v>1575196</v>
      </c>
      <c r="O61" s="23">
        <f t="shared" si="24"/>
        <v>1298144</v>
      </c>
      <c r="P61" s="23">
        <f t="shared" si="24"/>
        <v>62089</v>
      </c>
      <c r="Q61" s="23">
        <f t="shared" si="24"/>
        <v>725738</v>
      </c>
      <c r="R61" s="23">
        <f t="shared" si="24"/>
        <v>3227670</v>
      </c>
      <c r="S61" s="23">
        <f t="shared" si="24"/>
        <v>765360</v>
      </c>
      <c r="T61" s="23">
        <f>SUM(T58:T60)</f>
        <v>858755</v>
      </c>
      <c r="U61" s="23">
        <f>SUM(U58:U60)</f>
        <v>252466</v>
      </c>
      <c r="V61" s="23">
        <f t="shared" si="24"/>
        <v>134282</v>
      </c>
      <c r="W61" s="23">
        <f t="shared" si="24"/>
        <v>128428</v>
      </c>
      <c r="X61" s="23">
        <f>SUM(X58:X60)</f>
        <v>0</v>
      </c>
      <c r="Y61" s="23">
        <f>SUM(Y58:Y60)</f>
        <v>1299</v>
      </c>
      <c r="Z61" s="23">
        <f t="shared" si="24"/>
        <v>261646</v>
      </c>
      <c r="AA61" s="23">
        <f>SUM(AA58:AA60)</f>
        <v>579379</v>
      </c>
      <c r="AB61" s="23">
        <f t="shared" si="24"/>
        <v>35</v>
      </c>
      <c r="AC61" s="23">
        <f t="shared" si="24"/>
        <v>287210</v>
      </c>
      <c r="AD61" s="23">
        <f t="shared" si="24"/>
        <v>154171</v>
      </c>
      <c r="AE61" s="23">
        <f t="shared" si="24"/>
        <v>382659</v>
      </c>
      <c r="AF61" s="23">
        <f>SUM(AF58:AF60)</f>
        <v>256628</v>
      </c>
      <c r="AG61" s="23">
        <f t="shared" si="24"/>
        <v>0</v>
      </c>
      <c r="AH61" s="23">
        <f>SUM(AH58:AH60)</f>
        <v>702716</v>
      </c>
      <c r="AI61" s="23">
        <f>SUM(AI58:AI60)</f>
        <v>39295</v>
      </c>
      <c r="AJ61" s="23">
        <f t="shared" si="24"/>
        <v>114561</v>
      </c>
      <c r="AK61" s="23">
        <f t="shared" si="24"/>
        <v>51263</v>
      </c>
      <c r="AL61" s="23">
        <f t="shared" si="24"/>
        <v>0</v>
      </c>
      <c r="AM61" s="23">
        <f t="shared" si="24"/>
        <v>32538</v>
      </c>
      <c r="AN61" s="23">
        <f t="shared" si="24"/>
        <v>688</v>
      </c>
      <c r="AO61" s="23">
        <f>SUM(AO58:AO60)</f>
        <v>16501</v>
      </c>
      <c r="AP61" s="23">
        <f t="shared" si="24"/>
        <v>46746</v>
      </c>
      <c r="AQ61" s="23">
        <f t="shared" si="24"/>
        <v>30107</v>
      </c>
      <c r="AR61" s="23">
        <f>SUM(AR58:AR60)</f>
        <v>136110</v>
      </c>
      <c r="AS61" s="23">
        <f t="shared" si="24"/>
        <v>27175</v>
      </c>
      <c r="AT61" s="23">
        <f>SUM(AT58:AT60)</f>
        <v>27110</v>
      </c>
      <c r="AU61" s="23">
        <f t="shared" si="24"/>
        <v>10016</v>
      </c>
      <c r="AV61" s="23">
        <f>SUM(AV58:AV60)</f>
        <v>0</v>
      </c>
      <c r="AW61" s="23">
        <f t="shared" si="24"/>
        <v>11731</v>
      </c>
      <c r="AX61" s="23">
        <f t="shared" si="24"/>
        <v>898</v>
      </c>
      <c r="AY61" s="23">
        <f>SUM(AY58:AY60)</f>
        <v>10758</v>
      </c>
      <c r="AZ61" s="23">
        <f t="shared" si="24"/>
        <v>210</v>
      </c>
      <c r="BA61" s="23">
        <f>SUM(BA58:BA60)</f>
        <v>43109.394</v>
      </c>
      <c r="BB61" s="23">
        <f t="shared" si="24"/>
        <v>504</v>
      </c>
      <c r="BC61" s="23">
        <f t="shared" si="24"/>
        <v>5543</v>
      </c>
      <c r="BD61" s="23">
        <f t="shared" si="24"/>
        <v>0</v>
      </c>
      <c r="BE61" s="23">
        <f t="shared" si="24"/>
        <v>0</v>
      </c>
      <c r="BF61" s="23">
        <f t="shared" si="24"/>
        <v>1847</v>
      </c>
      <c r="BG61" s="23">
        <f>SUM(BG58:BG60)</f>
        <v>12853</v>
      </c>
      <c r="BH61" s="23">
        <f>SUM(BH58:BH60)</f>
        <v>1791</v>
      </c>
      <c r="BI61" s="23">
        <f t="shared" si="24"/>
        <v>0</v>
      </c>
      <c r="BJ61" s="23">
        <f t="shared" si="24"/>
        <v>0</v>
      </c>
      <c r="BK61" s="23">
        <f>SUM(BK58:BK60)</f>
        <v>0</v>
      </c>
      <c r="BL61" s="23">
        <f t="shared" si="24"/>
        <v>0</v>
      </c>
      <c r="BM61" s="23">
        <f t="shared" si="24"/>
        <v>0</v>
      </c>
      <c r="BN61" s="23">
        <f t="shared" si="24"/>
        <v>0</v>
      </c>
      <c r="BO61" s="23">
        <f>SUM(BO58:BO60)</f>
        <v>0</v>
      </c>
      <c r="BP61" s="23"/>
      <c r="BQ61" s="23"/>
      <c r="BR61" s="23"/>
      <c r="BS61" s="114">
        <f t="shared" si="6"/>
        <v>49453315.394</v>
      </c>
      <c r="BT61" s="114">
        <f t="shared" si="7"/>
        <v>1922896</v>
      </c>
      <c r="BU61" s="114">
        <f t="shared" si="8"/>
        <v>24387860</v>
      </c>
      <c r="BV61" s="114">
        <f t="shared" si="9"/>
        <v>21769003</v>
      </c>
      <c r="BW61" s="114">
        <f t="shared" si="4"/>
        <v>48079759</v>
      </c>
      <c r="BX61" s="114">
        <f t="shared" si="10"/>
        <v>1373556.394</v>
      </c>
      <c r="BY61" s="23"/>
      <c r="BZ61" s="114">
        <f t="shared" si="5"/>
        <v>49453315.394</v>
      </c>
      <c r="CA61" s="23"/>
      <c r="CB61" s="23"/>
    </row>
    <row r="62" spans="1:78" ht="12.75">
      <c r="A62" s="212" t="s">
        <v>574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13"/>
      <c r="BT62" s="114"/>
      <c r="BU62" s="114"/>
      <c r="BV62" s="114"/>
      <c r="BW62" s="114"/>
      <c r="BX62" s="114"/>
      <c r="BY62" s="13"/>
      <c r="BZ62" s="114"/>
    </row>
    <row r="63" spans="1:78" ht="12.75">
      <c r="A63" s="212" t="s">
        <v>355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13"/>
      <c r="BT63" s="114"/>
      <c r="BU63" s="114"/>
      <c r="BV63" s="114"/>
      <c r="BW63" s="114"/>
      <c r="BX63" s="114"/>
      <c r="BY63" s="13"/>
      <c r="BZ63" s="114"/>
    </row>
    <row r="64" spans="1:78" ht="12.75">
      <c r="A64" s="47" t="s">
        <v>203</v>
      </c>
      <c r="BN64"/>
      <c r="BO64"/>
      <c r="BS64" s="13"/>
      <c r="BT64" s="114"/>
      <c r="BU64" s="114"/>
      <c r="BV64" s="114"/>
      <c r="BW64" s="114"/>
      <c r="BX64" s="114"/>
      <c r="BY64" s="13"/>
      <c r="BZ64" s="114"/>
    </row>
    <row r="65" spans="1:80" ht="12.75">
      <c r="A65" s="47" t="s">
        <v>204</v>
      </c>
      <c r="B65" s="10">
        <f>2*('3.2. Yfirlit'!B28-'3.2. Yfirlit'!B26-'3.2. Yfirlit'!B36)</f>
        <v>9888932.97</v>
      </c>
      <c r="C65" s="10">
        <f>2*('3.2. Yfirlit'!C28-'3.2. Yfirlit'!C26-'3.2. Yfirlit'!C36)</f>
        <v>6584372.75</v>
      </c>
      <c r="D65" s="10">
        <f>2*('3.2. Yfirlit'!D28-'3.2. Yfirlit'!D26-'3.2. Yfirlit'!D36)</f>
        <v>4960606.892</v>
      </c>
      <c r="E65" s="10">
        <f>2*('3.2. Yfirlit'!E28-'3.2. Yfirlit'!E26-'3.2. Yfirlit'!E36)</f>
        <v>5411977.44</v>
      </c>
      <c r="F65" s="10">
        <f>2*('3.2. Yfirlit'!F28-'3.2. Yfirlit'!F26-'3.2. Yfirlit'!F36)</f>
        <v>4840702.612</v>
      </c>
      <c r="G65" s="10">
        <f>2*('3.2. Yfirlit'!G28-'3.2. Yfirlit'!G26-'3.2. Yfirlit'!G36)</f>
        <v>3033000.2199999997</v>
      </c>
      <c r="H65" s="10">
        <f>2*('3.2. Yfirlit'!H28-'3.2. Yfirlit'!H26-'3.2. Yfirlit'!H36)</f>
        <v>2107230.4000000004</v>
      </c>
      <c r="I65" s="10"/>
      <c r="J65" s="10">
        <f>2*('3.2. Yfirlit'!J28-'3.2. Yfirlit'!J26-'3.2. Yfirlit'!J36)</f>
        <v>1959243.496</v>
      </c>
      <c r="K65" s="10">
        <f>2*('3.2. Yfirlit'!K28-'3.2. Yfirlit'!K26-'3.2. Yfirlit'!K36)</f>
        <v>1369351.668</v>
      </c>
      <c r="L65" s="10">
        <f>2*('3.2. Yfirlit'!L28-'3.2. Yfirlit'!L26-'3.2. Yfirlit'!L36)</f>
        <v>716001.012</v>
      </c>
      <c r="M65" s="10">
        <f>2*('3.2. Yfirlit'!M28-'3.2. Yfirlit'!M26-'3.2. Yfirlit'!M36)</f>
        <v>1858057.17</v>
      </c>
      <c r="N65" s="10">
        <f>2*('3.2. Yfirlit'!N28-'3.2. Yfirlit'!N26-'3.2. Yfirlit'!N36)</f>
        <v>1632641.538</v>
      </c>
      <c r="O65" s="10">
        <f>2*('3.2. Yfirlit'!O28-'3.2. Yfirlit'!O26-'3.2. Yfirlit'!O36)</f>
        <v>1512975.3660000002</v>
      </c>
      <c r="P65" s="10">
        <f>2*('3.2. Yfirlit'!P28-'3.2. Yfirlit'!P26-'3.2. Yfirlit'!P36)</f>
        <v>1548113.922</v>
      </c>
      <c r="Q65" s="10">
        <f>2*('3.2. Yfirlit'!Q28-'3.2. Yfirlit'!Q26-'3.2. Yfirlit'!Q36)</f>
        <v>1226344.1840000001</v>
      </c>
      <c r="R65" s="10">
        <f>2*('3.2. Yfirlit'!R28-'3.2. Yfirlit'!R26-'3.2. Yfirlit'!R36)</f>
        <v>1596787.964</v>
      </c>
      <c r="S65" s="10">
        <f>2*('3.2. Yfirlit'!S28-'3.2. Yfirlit'!S26-'3.2. Yfirlit'!S36)</f>
        <v>823515.85</v>
      </c>
      <c r="T65" s="10">
        <f>2*('3.2. Yfirlit'!T28-'3.2. Yfirlit'!T26-'3.2. Yfirlit'!T36)</f>
        <v>1042284.022</v>
      </c>
      <c r="U65" s="10">
        <f>2*('3.2. Yfirlit'!U28-'3.2. Yfirlit'!U26-'3.2. Yfirlit'!U36)</f>
        <v>1075907.858</v>
      </c>
      <c r="V65" s="10">
        <f>2*('3.2. Yfirlit'!V28-'3.2. Yfirlit'!V26-'3.2. Yfirlit'!V36)</f>
        <v>794900.2640000001</v>
      </c>
      <c r="W65" s="10">
        <f>2*('3.2. Yfirlit'!W28-'3.2. Yfirlit'!W26-'3.2. Yfirlit'!W36)</f>
        <v>685040.08</v>
      </c>
      <c r="X65"/>
      <c r="Y65"/>
      <c r="Z65" s="10">
        <f>2*('3.2. Yfirlit'!Z28-'3.2. Yfirlit'!Z26-'3.2. Yfirlit'!Z36)</f>
        <v>599768.368</v>
      </c>
      <c r="AA65" s="10"/>
      <c r="AB65" s="10">
        <f>2*('3.2. Yfirlit'!AB28-'3.2. Yfirlit'!AB26-'3.2. Yfirlit'!AB36)</f>
        <v>325920.25800000003</v>
      </c>
      <c r="AC65" s="10">
        <f>2*('3.2. Yfirlit'!AC28-'3.2. Yfirlit'!AC26-'3.2. Yfirlit'!AC36)</f>
        <v>399930.61600000004</v>
      </c>
      <c r="AD65" s="10">
        <f>2*('3.2. Yfirlit'!AD28-'3.2. Yfirlit'!AD26-'3.2. Yfirlit'!AD36)</f>
        <v>355391.85599999997</v>
      </c>
      <c r="AE65" s="10">
        <f>2*('3.2. Yfirlit'!AE28-'3.2. Yfirlit'!AE26-'3.2. Yfirlit'!AE36)</f>
        <v>531188.566</v>
      </c>
      <c r="AF65" s="10"/>
      <c r="AG65" s="10">
        <f>2*('3.2. Yfirlit'!AG28-'3.2. Yfirlit'!AG26-'3.2. Yfirlit'!AG36)</f>
        <v>469939.796</v>
      </c>
      <c r="AH65" s="10">
        <f>2*('3.2. Yfirlit'!AH28-'3.2. Yfirlit'!AH26-'3.2. Yfirlit'!AH36)</f>
        <v>155178.758</v>
      </c>
      <c r="AI65" s="10"/>
      <c r="AJ65" s="10">
        <f>2*('3.2. Yfirlit'!AJ28-'3.2. Yfirlit'!AJ26-'3.2. Yfirlit'!AJ36)</f>
        <v>262885.56200000003</v>
      </c>
      <c r="AK65" s="10">
        <f>2*('3.2. Yfirlit'!AK28-'3.2. Yfirlit'!AK26-'3.2. Yfirlit'!AK36)</f>
        <v>258004.25999999998</v>
      </c>
      <c r="AL65" s="10">
        <f>2*('3.2. Yfirlit'!AL28-'3.2. Yfirlit'!AL26-'3.2. Yfirlit'!AL36)</f>
        <v>182723.782</v>
      </c>
      <c r="AM65" s="10">
        <f>2*('3.2. Yfirlit'!AM28-'3.2. Yfirlit'!AM26-'3.2. Yfirlit'!AM36)</f>
        <v>286524.114</v>
      </c>
      <c r="AN65" s="10">
        <f>2*('3.2. Yfirlit'!AN28-'3.2. Yfirlit'!AN26-'3.2. Yfirlit'!AN36)</f>
        <v>280630.662</v>
      </c>
      <c r="AO65" s="10">
        <f>2*('3.2. Yfirlit'!AO28-'3.2. Yfirlit'!AO26-'3.2. Yfirlit'!AO36)</f>
        <v>180238.98200000002</v>
      </c>
      <c r="AP65" s="10">
        <f>2*('3.2. Yfirlit'!AP28-'3.2. Yfirlit'!AP26-'3.2. Yfirlit'!AP36)</f>
        <v>147378.348</v>
      </c>
      <c r="AQ65" s="10">
        <f>2*('3.2. Yfirlit'!AQ28-'3.2. Yfirlit'!AQ26-'3.2. Yfirlit'!AQ36)</f>
        <v>157815.72</v>
      </c>
      <c r="AR65" s="10">
        <f>2*('3.2. Yfirlit'!AR28-'3.2. Yfirlit'!AR26-'3.2. Yfirlit'!AR36)</f>
        <v>166294.224</v>
      </c>
      <c r="AS65" s="10">
        <f>2*('3.2. Yfirlit'!AS28-'3.2. Yfirlit'!AS26-'3.2. Yfirlit'!AS36)</f>
        <v>130690.85400000002</v>
      </c>
      <c r="AT65" s="10">
        <f>2*('3.2. Yfirlit'!AT28-'3.2. Yfirlit'!AT26-'3.2. Yfirlit'!AT36)</f>
        <v>145941.666</v>
      </c>
      <c r="AU65" s="10">
        <f>2*('3.2. Yfirlit'!AU28-'3.2. Yfirlit'!AU26-'3.2. Yfirlit'!AU36)</f>
        <v>104031.51800000001</v>
      </c>
      <c r="AV65" s="10">
        <f>2*('3.2. Yfirlit'!AV28-'3.2. Yfirlit'!AV26-'3.2. Yfirlit'!AV36)</f>
        <v>92469.436</v>
      </c>
      <c r="AW65" s="10">
        <f>2*('3.2. Yfirlit'!AW28-'3.2. Yfirlit'!AW26-'3.2. Yfirlit'!AW36)</f>
        <v>103845.27999999998</v>
      </c>
      <c r="AX65" s="10">
        <f>2*('3.2. Yfirlit'!AX28-'3.2. Yfirlit'!AX26-'3.2. Yfirlit'!AX36)</f>
        <v>79059.62399999998</v>
      </c>
      <c r="AY65" s="10"/>
      <c r="AZ65" s="10">
        <f>2*('3.2. Yfirlit'!AZ28-'3.2. Yfirlit'!AZ26-'3.2. Yfirlit'!AZ36)</f>
        <v>67988.47</v>
      </c>
      <c r="BA65" s="10">
        <f>2*('3.2. Yfirlit'!BA28-'3.2. Yfirlit'!BA26-'3.2. Yfirlit'!BA36)</f>
        <v>78550.908</v>
      </c>
      <c r="BB65" s="10">
        <f>2*('3.2. Yfirlit'!BB28-'3.2. Yfirlit'!BB26-'3.2. Yfirlit'!BB36)</f>
        <v>70065.42000000001</v>
      </c>
      <c r="BC65" s="10">
        <f>2*('3.2. Yfirlit'!BC28-'3.2. Yfirlit'!BC26-'3.2. Yfirlit'!BC36)</f>
        <v>53468.92999999999</v>
      </c>
      <c r="BD65" s="10">
        <f>2*('3.2. Yfirlit'!BD28-'3.2. Yfirlit'!BD26-'3.2. Yfirlit'!BD36)</f>
        <v>29808.526</v>
      </c>
      <c r="BE65" s="10">
        <f>2*('3.2. Yfirlit'!BE28-'3.2. Yfirlit'!BE26-'3.2. Yfirlit'!BE36)</f>
        <v>23162.736</v>
      </c>
      <c r="BF65" s="10">
        <f>2*('3.2. Yfirlit'!BF28-'3.2. Yfirlit'!BF26-'3.2. Yfirlit'!BF36)</f>
        <v>25908.639999999996</v>
      </c>
      <c r="BG65" s="10">
        <f>2*('3.2. Yfirlit'!BG28-'3.2. Yfirlit'!BG26-'3.2. Yfirlit'!BG36)</f>
        <v>13887.08</v>
      </c>
      <c r="BH65" s="10">
        <f>2*('3.2. Yfirlit'!BH28-'3.2. Yfirlit'!BH26-'3.2. Yfirlit'!BH36)</f>
        <v>25472.642</v>
      </c>
      <c r="BI65" s="10">
        <f>2*('3.2. Yfirlit'!BI28-'3.2. Yfirlit'!BI26-'3.2. Yfirlit'!BI36)</f>
        <v>14571.754</v>
      </c>
      <c r="BJ65" s="10">
        <f>2*('3.2. Yfirlit'!BJ28-'3.2. Yfirlit'!BJ26-'3.2. Yfirlit'!BJ36)</f>
        <v>11612.214</v>
      </c>
      <c r="BK65"/>
      <c r="BL65" s="10">
        <f>2*('3.2. Yfirlit'!BL28-'3.2. Yfirlit'!BL26-'3.2. Yfirlit'!BL36)</f>
        <v>4626.702</v>
      </c>
      <c r="BM65" s="10">
        <f>2*('3.2. Yfirlit'!BM28-'3.2. Yfirlit'!BM26-'3.2. Yfirlit'!BM36)</f>
        <v>2032.076</v>
      </c>
      <c r="BN65"/>
      <c r="BO65"/>
      <c r="BP65" s="10"/>
      <c r="BQ65" s="10"/>
      <c r="BR65" s="10"/>
      <c r="BS65" s="10">
        <f>SUM(B65:BO65)</f>
        <v>60504996.025999986</v>
      </c>
      <c r="BT65" s="114">
        <f t="shared" si="7"/>
        <v>7670476.771999998</v>
      </c>
      <c r="BU65" s="114">
        <f t="shared" si="8"/>
        <v>22918571.684</v>
      </c>
      <c r="BV65" s="114">
        <f t="shared" si="9"/>
        <v>28442832.35400001</v>
      </c>
      <c r="BW65" s="114">
        <f t="shared" si="4"/>
        <v>59031880.81000001</v>
      </c>
      <c r="BX65" s="114">
        <f t="shared" si="10"/>
        <v>1473115.216</v>
      </c>
      <c r="BY65" s="10"/>
      <c r="BZ65" s="114">
        <f t="shared" si="5"/>
        <v>60504996.02600001</v>
      </c>
      <c r="CA65" s="23"/>
      <c r="CB65" s="23"/>
    </row>
    <row r="66" spans="1:80" ht="12.75">
      <c r="A66" s="170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/>
      <c r="Y66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/>
      <c r="BL66" s="23"/>
      <c r="BM66" s="23"/>
      <c r="BN66"/>
      <c r="BO66"/>
      <c r="BP66" s="23"/>
      <c r="BQ66" s="23"/>
      <c r="BR66" s="23"/>
      <c r="BS66" s="13"/>
      <c r="BT66" s="114"/>
      <c r="BU66" s="114"/>
      <c r="BV66" s="114"/>
      <c r="BW66" s="114"/>
      <c r="BX66" s="114"/>
      <c r="BY66" s="13"/>
      <c r="BZ66" s="114"/>
      <c r="CA66" s="7"/>
      <c r="CB66" s="7"/>
    </row>
    <row r="67" spans="1:80" ht="12.75">
      <c r="A67" s="47" t="s">
        <v>205</v>
      </c>
      <c r="X67"/>
      <c r="Y67"/>
      <c r="BK67"/>
      <c r="BN67"/>
      <c r="BO67"/>
      <c r="BS67" s="13"/>
      <c r="BT67" s="114"/>
      <c r="BU67" s="114"/>
      <c r="BV67" s="114"/>
      <c r="BW67" s="114"/>
      <c r="BX67" s="114"/>
      <c r="BY67" s="13"/>
      <c r="BZ67" s="114"/>
      <c r="CA67" s="23"/>
      <c r="CB67" s="23"/>
    </row>
    <row r="68" spans="1:80" ht="12.75">
      <c r="A68" s="47" t="s">
        <v>206</v>
      </c>
      <c r="B68" s="10">
        <f>('3.2. Yfirlit'!B59+'3.2. Yfirlit'!B62-('3.2. Yfirlit'!B28-'3.2. Yfirlit'!B26-'3.2. Yfirlit'!B36))</f>
        <v>109274853.802</v>
      </c>
      <c r="C68" s="10">
        <f>('3.2. Yfirlit'!C59+'3.2. Yfirlit'!C62-('3.2. Yfirlit'!C28-'3.2. Yfirlit'!C26-'3.2. Yfirlit'!C36))</f>
        <v>66482747.94999999</v>
      </c>
      <c r="D68" s="10">
        <f>('3.2. Yfirlit'!D59+'3.2. Yfirlit'!D62-('3.2. Yfirlit'!D28-'3.2. Yfirlit'!D26-'3.2. Yfirlit'!D36))</f>
        <v>67587721.14100002</v>
      </c>
      <c r="E68" s="10">
        <f>('3.2. Yfirlit'!E59+'3.2. Yfirlit'!E62-('3.2. Yfirlit'!E28-'3.2. Yfirlit'!E26-'3.2. Yfirlit'!E36))</f>
        <v>57850048.963</v>
      </c>
      <c r="F68" s="10">
        <f>('3.2. Yfirlit'!F59+'3.2. Yfirlit'!F62-('3.2. Yfirlit'!F28-'3.2. Yfirlit'!F26-'3.2. Yfirlit'!F36))</f>
        <v>55985624.728999995</v>
      </c>
      <c r="G68" s="10">
        <f>('3.2. Yfirlit'!G59+'3.2. Yfirlit'!G62-('3.2. Yfirlit'!G28-'3.2. Yfirlit'!G26-'3.2. Yfirlit'!G36))</f>
        <v>26109838.814000003</v>
      </c>
      <c r="H68" s="10">
        <f>('3.2. Yfirlit'!H59+'3.2. Yfirlit'!H62-('3.2. Yfirlit'!H28-'3.2. Yfirlit'!H26-'3.2. Yfirlit'!H36))</f>
        <v>26805852.128</v>
      </c>
      <c r="I68" s="10"/>
      <c r="J68" s="10">
        <f>('3.2. Yfirlit'!J59+'3.2. Yfirlit'!J62-('3.2. Yfirlit'!J28-'3.2. Yfirlit'!J26-'3.2. Yfirlit'!J36))</f>
        <v>22177410.63</v>
      </c>
      <c r="K68" s="10">
        <f>('3.2. Yfirlit'!K59+'3.2. Yfirlit'!K62-('3.2. Yfirlit'!K28-'3.2. Yfirlit'!K26-'3.2. Yfirlit'!K36))</f>
        <v>20592882.203</v>
      </c>
      <c r="L68" s="10">
        <f>('3.2. Yfirlit'!L59+'3.2. Yfirlit'!L62-('3.2. Yfirlit'!L28-'3.2. Yfirlit'!L26-'3.2. Yfirlit'!L36))</f>
        <v>21513439.958999995</v>
      </c>
      <c r="M68" s="10">
        <f>('3.2. Yfirlit'!M59+'3.2. Yfirlit'!M62-('3.2. Yfirlit'!M28-'3.2. Yfirlit'!M26-'3.2. Yfirlit'!M36))</f>
        <v>18034580.216</v>
      </c>
      <c r="N68" s="10">
        <f>('3.2. Yfirlit'!N59+'3.2. Yfirlit'!N62-('3.2. Yfirlit'!N28-'3.2. Yfirlit'!N26-'3.2. Yfirlit'!N36))</f>
        <v>17623934.979000002</v>
      </c>
      <c r="O68" s="10">
        <f>('3.2. Yfirlit'!O59+'3.2. Yfirlit'!O62-('3.2. Yfirlit'!O28-'3.2. Yfirlit'!O26-'3.2. Yfirlit'!O36))</f>
        <v>15801402.144000001</v>
      </c>
      <c r="P68" s="10">
        <f>('3.2. Yfirlit'!P59+'3.2. Yfirlit'!P62-('3.2. Yfirlit'!P28-'3.2. Yfirlit'!P26-'3.2. Yfirlit'!P36))</f>
        <v>14664729.327</v>
      </c>
      <c r="Q68" s="10">
        <f>('3.2. Yfirlit'!Q59+'3.2. Yfirlit'!Q62-('3.2. Yfirlit'!Q28-'3.2. Yfirlit'!Q26-'3.2. Yfirlit'!Q36))</f>
        <v>14074098.813</v>
      </c>
      <c r="R68" s="10">
        <f>('3.2. Yfirlit'!R59+'3.2. Yfirlit'!R62-('3.2. Yfirlit'!R28-'3.2. Yfirlit'!R26-'3.2. Yfirlit'!R36))</f>
        <v>12746336.184999999</v>
      </c>
      <c r="S68" s="10">
        <f>('3.2. Yfirlit'!S59+'3.2. Yfirlit'!S62-('3.2. Yfirlit'!S28-'3.2. Yfirlit'!S26-'3.2. Yfirlit'!S36))</f>
        <v>9992819.773</v>
      </c>
      <c r="T68" s="10">
        <f>('3.2. Yfirlit'!T59+'3.2. Yfirlit'!T62-('3.2. Yfirlit'!T28-'3.2. Yfirlit'!T26-'3.2. Yfirlit'!T36))</f>
        <v>9167489.512000002</v>
      </c>
      <c r="U68" s="10">
        <f>('3.2. Yfirlit'!U59+'3.2. Yfirlit'!U62-('3.2. Yfirlit'!U28-'3.2. Yfirlit'!U26-'3.2. Yfirlit'!U36))</f>
        <v>9542390.404000001</v>
      </c>
      <c r="V68" s="10">
        <f>('3.2. Yfirlit'!V59+'3.2. Yfirlit'!V62-('3.2. Yfirlit'!V28-'3.2. Yfirlit'!V26-'3.2. Yfirlit'!V36))</f>
        <v>9665412.440000001</v>
      </c>
      <c r="W68" s="10">
        <f>('3.2. Yfirlit'!W59+'3.2. Yfirlit'!W62-('3.2. Yfirlit'!W28-'3.2. Yfirlit'!W26-'3.2. Yfirlit'!W36))</f>
        <v>8571220.064</v>
      </c>
      <c r="X68"/>
      <c r="Y68"/>
      <c r="Z68" s="10">
        <f>('3.2. Yfirlit'!Z59+'3.2. Yfirlit'!Z62-('3.2. Yfirlit'!Z28-'3.2. Yfirlit'!Z26-'3.2. Yfirlit'!Z36))</f>
        <v>7063628.222999999</v>
      </c>
      <c r="AA68" s="10"/>
      <c r="AB68" s="10">
        <f>('3.2. Yfirlit'!AB59+'3.2. Yfirlit'!AB62-('3.2. Yfirlit'!AB28-'3.2. Yfirlit'!AB26-'3.2. Yfirlit'!AB36))</f>
        <v>4976705.269</v>
      </c>
      <c r="AC68" s="10">
        <f>('3.2. Yfirlit'!AC59+'3.2. Yfirlit'!AC62-('3.2. Yfirlit'!AC28-'3.2. Yfirlit'!AC26-'3.2. Yfirlit'!AC36))</f>
        <v>4794002.873</v>
      </c>
      <c r="AD68" s="10">
        <f>('3.2. Yfirlit'!AD59+'3.2. Yfirlit'!AD62-('3.2. Yfirlit'!AD28-'3.2. Yfirlit'!AD26-'3.2. Yfirlit'!AD36))</f>
        <v>4636345.714</v>
      </c>
      <c r="AE68" s="10">
        <f>('3.2. Yfirlit'!AE59+'3.2. Yfirlit'!AE62-('3.2. Yfirlit'!AE28-'3.2. Yfirlit'!AE26-'3.2. Yfirlit'!AE36))</f>
        <v>4214319.148</v>
      </c>
      <c r="AF68" s="10"/>
      <c r="AG68" s="10">
        <f>('3.2. Yfirlit'!AG59+'3.2. Yfirlit'!AG62-('3.2. Yfirlit'!AG28-'3.2. Yfirlit'!AG26-'3.2. Yfirlit'!AG36))</f>
        <v>3938139.963</v>
      </c>
      <c r="AH68" s="10">
        <f>('3.2. Yfirlit'!AH59+'3.2. Yfirlit'!AH62-('3.2. Yfirlit'!AH28-'3.2. Yfirlit'!AH26-'3.2. Yfirlit'!AH36))</f>
        <v>4090791.2229999998</v>
      </c>
      <c r="AI68" s="10"/>
      <c r="AJ68" s="10">
        <f>('3.2. Yfirlit'!AJ59+'3.2. Yfirlit'!AJ62-('3.2. Yfirlit'!AJ28-'3.2. Yfirlit'!AJ26-'3.2. Yfirlit'!AJ36))</f>
        <v>3100366.3290000004</v>
      </c>
      <c r="AK68" s="10">
        <f>('3.2. Yfirlit'!AK59+'3.2. Yfirlit'!AK62-('3.2. Yfirlit'!AK28-'3.2. Yfirlit'!AK26-'3.2. Yfirlit'!AK36))</f>
        <v>3077603.995</v>
      </c>
      <c r="AL68" s="10">
        <f>('3.2. Yfirlit'!AL59+'3.2. Yfirlit'!AL62-('3.2. Yfirlit'!AL28-'3.2. Yfirlit'!AL26-'3.2. Yfirlit'!AL36))</f>
        <v>2593190.397</v>
      </c>
      <c r="AM68" s="10">
        <f>('3.2. Yfirlit'!AM59+'3.2. Yfirlit'!AM62-('3.2. Yfirlit'!AM28-'3.2. Yfirlit'!AM26-'3.2. Yfirlit'!AM36))</f>
        <v>2342334.882</v>
      </c>
      <c r="AN68" s="10">
        <f>('3.2. Yfirlit'!AN59+'3.2. Yfirlit'!AN62-('3.2. Yfirlit'!AN28-'3.2. Yfirlit'!AN26-'3.2. Yfirlit'!AN36))</f>
        <v>2285039.0019999994</v>
      </c>
      <c r="AO68" s="10">
        <f>('3.2. Yfirlit'!AO59+'3.2. Yfirlit'!AO62-('3.2. Yfirlit'!AO28-'3.2. Yfirlit'!AO26-'3.2. Yfirlit'!AO36))</f>
        <v>1967950.47</v>
      </c>
      <c r="AP68" s="10">
        <f>('3.2. Yfirlit'!AP59+'3.2. Yfirlit'!AP62-('3.2. Yfirlit'!AP28-'3.2. Yfirlit'!AP26-'3.2. Yfirlit'!AP36))</f>
        <v>1978602.4160000002</v>
      </c>
      <c r="AQ68" s="10">
        <f>('3.2. Yfirlit'!AQ59+'3.2. Yfirlit'!AQ62-('3.2. Yfirlit'!AQ28-'3.2. Yfirlit'!AQ26-'3.2. Yfirlit'!AQ36))</f>
        <v>1695255.936</v>
      </c>
      <c r="AR68" s="10">
        <f>('3.2. Yfirlit'!AR59+'3.2. Yfirlit'!AR62-('3.2. Yfirlit'!AR28-'3.2. Yfirlit'!AR26-'3.2. Yfirlit'!AR36))</f>
        <v>1538301.502</v>
      </c>
      <c r="AS68" s="10">
        <f>('3.2. Yfirlit'!AS59+'3.2. Yfirlit'!AS62-('3.2. Yfirlit'!AS28-'3.2. Yfirlit'!AS26-'3.2. Yfirlit'!AS36))</f>
        <v>1565644.5050000001</v>
      </c>
      <c r="AT68" s="10">
        <f>('3.2. Yfirlit'!AT59+'3.2. Yfirlit'!AT62-('3.2. Yfirlit'!AT28-'3.2. Yfirlit'!AT26-'3.2. Yfirlit'!AT36))</f>
        <v>1559120.146</v>
      </c>
      <c r="AU68" s="10">
        <f>('3.2. Yfirlit'!AU59+'3.2. Yfirlit'!AU62-('3.2. Yfirlit'!AU28-'3.2. Yfirlit'!AU26-'3.2. Yfirlit'!AU36))</f>
        <v>1513179.1269999999</v>
      </c>
      <c r="AV68" s="10">
        <f>('3.2. Yfirlit'!AV59+'3.2. Yfirlit'!AV62-('3.2. Yfirlit'!AV28-'3.2. Yfirlit'!AV26-'3.2. Yfirlit'!AV36))</f>
        <v>1215138.842</v>
      </c>
      <c r="AW68" s="10">
        <f>('3.2. Yfirlit'!AW59+'3.2. Yfirlit'!AW62-('3.2. Yfirlit'!AW28-'3.2. Yfirlit'!AW26-'3.2. Yfirlit'!AW36))</f>
        <v>1175977.5620000002</v>
      </c>
      <c r="AX68" s="10">
        <f>('3.2. Yfirlit'!AX59+'3.2. Yfirlit'!AX62-('3.2. Yfirlit'!AX28-'3.2. Yfirlit'!AX26-'3.2. Yfirlit'!AX36))</f>
        <v>1022075.238</v>
      </c>
      <c r="AY68" s="10"/>
      <c r="AZ68" s="10">
        <f>('3.2. Yfirlit'!AZ59+'3.2. Yfirlit'!AZ62-('3.2. Yfirlit'!AZ28-'3.2. Yfirlit'!AZ26-'3.2. Yfirlit'!AZ36))</f>
        <v>827656.1110000001</v>
      </c>
      <c r="BA68" s="10">
        <f>('3.2. Yfirlit'!BA59+'3.2. Yfirlit'!BA62-('3.2. Yfirlit'!BA28-'3.2. Yfirlit'!BA26-'3.2. Yfirlit'!BA36))</f>
        <v>767254.909</v>
      </c>
      <c r="BB68" s="10">
        <f>('3.2. Yfirlit'!BB59+'3.2. Yfirlit'!BB62-('3.2. Yfirlit'!BB28-'3.2. Yfirlit'!BB26-'3.2. Yfirlit'!BB36))</f>
        <v>747543.599</v>
      </c>
      <c r="BC68" s="10">
        <f>('3.2. Yfirlit'!BC59+'3.2. Yfirlit'!BC62-('3.2. Yfirlit'!BC28-'3.2. Yfirlit'!BC26-'3.2. Yfirlit'!BC36))</f>
        <v>696956.7729999999</v>
      </c>
      <c r="BD68" s="10">
        <f>('3.2. Yfirlit'!BD59+'3.2. Yfirlit'!BD62-('3.2. Yfirlit'!BD28-'3.2. Yfirlit'!BD26-'3.2. Yfirlit'!BD36))</f>
        <v>464698.72500000003</v>
      </c>
      <c r="BE68" s="10">
        <f>('3.2. Yfirlit'!BE59+'3.2. Yfirlit'!BE62-('3.2. Yfirlit'!BE28-'3.2. Yfirlit'!BE26-'3.2. Yfirlit'!BE36))</f>
        <v>371860.92500000005</v>
      </c>
      <c r="BF68" s="10">
        <f>('3.2. Yfirlit'!BF59+'3.2. Yfirlit'!BF62-('3.2. Yfirlit'!BF28-'3.2. Yfirlit'!BF26-'3.2. Yfirlit'!BF36))</f>
        <v>314957.908</v>
      </c>
      <c r="BG68" s="10">
        <f>('3.2. Yfirlit'!BG59+'3.2. Yfirlit'!BG62-('3.2. Yfirlit'!BG28-'3.2. Yfirlit'!BG26-'3.2. Yfirlit'!BG36))</f>
        <v>295699.335</v>
      </c>
      <c r="BH68" s="10">
        <f>('3.2. Yfirlit'!BH59+'3.2. Yfirlit'!BH62-('3.2. Yfirlit'!BH28-'3.2. Yfirlit'!BH26-'3.2. Yfirlit'!BH36))</f>
        <v>238318.13199999998</v>
      </c>
      <c r="BI68" s="10">
        <f>('3.2. Yfirlit'!BI59+'3.2. Yfirlit'!BI62-('3.2. Yfirlit'!BI28-'3.2. Yfirlit'!BI26-'3.2. Yfirlit'!BI36))</f>
        <v>206024.76499999998</v>
      </c>
      <c r="BJ68" s="10">
        <f>('3.2. Yfirlit'!BJ59+'3.2. Yfirlit'!BJ62-('3.2. Yfirlit'!BJ28-'3.2. Yfirlit'!BJ26-'3.2. Yfirlit'!BJ36))</f>
        <v>185879.09300000002</v>
      </c>
      <c r="BK68"/>
      <c r="BL68" s="10">
        <f>('3.2. Yfirlit'!BL59+'3.2. Yfirlit'!BL62-('3.2. Yfirlit'!BL28-'3.2. Yfirlit'!BL26-'3.2. Yfirlit'!BL36))</f>
        <v>68737.90100000001</v>
      </c>
      <c r="BM68" s="10">
        <f>('3.2. Yfirlit'!BM59+'3.2. Yfirlit'!BM62-('3.2. Yfirlit'!BM28-'3.2. Yfirlit'!BM26-'3.2. Yfirlit'!BM36))</f>
        <v>21049.104</v>
      </c>
      <c r="BN68"/>
      <c r="BO68"/>
      <c r="BP68" s="10"/>
      <c r="BQ68" s="10"/>
      <c r="BR68" s="10"/>
      <c r="BS68" s="10">
        <f>SUM(B68:BO68)</f>
        <v>681815184.2180002</v>
      </c>
      <c r="BT68" s="114">
        <f t="shared" si="7"/>
        <v>97815928.08999997</v>
      </c>
      <c r="BU68" s="114">
        <f>SUM(C68+F68+G68+K68+L68+N68+P68+Q68+S68+Z68+AK68+AL68+AU68)</f>
        <v>261287718.289</v>
      </c>
      <c r="BV68" s="114">
        <f t="shared" si="9"/>
        <v>309235028.87299985</v>
      </c>
      <c r="BW68" s="114">
        <f>SUM(BT68:BV68)</f>
        <v>668338675.2519999</v>
      </c>
      <c r="BX68" s="114">
        <f>SUM(T68+X68+AF68+AI68+AR68+AT68+AY68+BA68+BH68+BI68)</f>
        <v>13476508.966000002</v>
      </c>
      <c r="BY68" s="10"/>
      <c r="BZ68" s="114">
        <f>SUM(BW68:BX68)</f>
        <v>681815184.2179998</v>
      </c>
      <c r="CA68" s="23"/>
      <c r="CB68" s="23"/>
    </row>
    <row r="69" spans="1:80" ht="12.75">
      <c r="A69" s="170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/>
      <c r="Y69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/>
      <c r="BL69" s="23"/>
      <c r="BM69" s="23"/>
      <c r="BN69"/>
      <c r="BO69"/>
      <c r="BP69" s="23"/>
      <c r="BQ69" s="23"/>
      <c r="BR69" s="23"/>
      <c r="BS69" s="13"/>
      <c r="BT69" s="13"/>
      <c r="BU69" s="13"/>
      <c r="BV69" s="13"/>
      <c r="BW69" s="13"/>
      <c r="BX69" s="13"/>
      <c r="BY69" s="13"/>
      <c r="BZ69" s="13"/>
      <c r="CA69" s="8"/>
      <c r="CB69" s="8"/>
    </row>
    <row r="70" spans="1:80" ht="12.75">
      <c r="A70" s="74" t="s">
        <v>584</v>
      </c>
      <c r="B70" s="14">
        <f>B65/B68</f>
        <v>0.0904959615678663</v>
      </c>
      <c r="C70" s="14">
        <f>C65/C68</f>
        <v>0.09903881763359033</v>
      </c>
      <c r="D70" s="14">
        <f aca="true" t="shared" si="25" ref="D70:BM70">D65/D68</f>
        <v>0.0733950902361583</v>
      </c>
      <c r="E70" s="14">
        <f t="shared" si="25"/>
        <v>0.09355182125189587</v>
      </c>
      <c r="F70" s="14">
        <f t="shared" si="25"/>
        <v>0.0864633133135793</v>
      </c>
      <c r="G70" s="14">
        <f>G65/G68</f>
        <v>0.11616311542964086</v>
      </c>
      <c r="H70" s="14">
        <f t="shared" si="25"/>
        <v>0.07861083430356229</v>
      </c>
      <c r="I70"/>
      <c r="J70" s="14">
        <f t="shared" si="25"/>
        <v>0.08834410512062563</v>
      </c>
      <c r="K70" s="14">
        <f>K65/K68</f>
        <v>0.06649635803775496</v>
      </c>
      <c r="L70" s="14">
        <f t="shared" si="25"/>
        <v>0.033281567864764744</v>
      </c>
      <c r="M70" s="14">
        <f t="shared" si="25"/>
        <v>0.10302746987986783</v>
      </c>
      <c r="N70" s="14">
        <f t="shared" si="25"/>
        <v>0.09263774179520023</v>
      </c>
      <c r="O70" s="14">
        <f t="shared" si="25"/>
        <v>0.09574943743675916</v>
      </c>
      <c r="P70" s="14">
        <f t="shared" si="25"/>
        <v>0.10556716646311955</v>
      </c>
      <c r="Q70" s="14">
        <f t="shared" si="25"/>
        <v>0.08713482833211654</v>
      </c>
      <c r="R70" s="14">
        <f t="shared" si="25"/>
        <v>0.12527427025493915</v>
      </c>
      <c r="S70" s="14">
        <f t="shared" si="25"/>
        <v>0.08241075779482088</v>
      </c>
      <c r="T70" s="14">
        <f>T65/T68</f>
        <v>0.11369350579956243</v>
      </c>
      <c r="U70" s="14">
        <f>U65/U68</f>
        <v>0.11275035001177466</v>
      </c>
      <c r="V70" s="14">
        <f t="shared" si="25"/>
        <v>0.08224173245937552</v>
      </c>
      <c r="W70" s="14">
        <f t="shared" si="25"/>
        <v>0.07992328686988663</v>
      </c>
      <c r="X70"/>
      <c r="Y70"/>
      <c r="Z70" s="14">
        <f t="shared" si="25"/>
        <v>0.08490939062266671</v>
      </c>
      <c r="AA70"/>
      <c r="AB70" s="14">
        <f t="shared" si="25"/>
        <v>0.06548916208282697</v>
      </c>
      <c r="AC70" s="14">
        <f t="shared" si="25"/>
        <v>0.08342310728523422</v>
      </c>
      <c r="AD70" s="14">
        <f t="shared" si="25"/>
        <v>0.07665344172391024</v>
      </c>
      <c r="AE70" s="14">
        <f t="shared" si="25"/>
        <v>0.12604374451614264</v>
      </c>
      <c r="AF70"/>
      <c r="AG70" s="14">
        <f t="shared" si="25"/>
        <v>0.11933039465717943</v>
      </c>
      <c r="AH70" s="14">
        <f>AH65/AH68</f>
        <v>0.03793367823992713</v>
      </c>
      <c r="AI70"/>
      <c r="AJ70" s="14">
        <f t="shared" si="25"/>
        <v>0.0847917742948756</v>
      </c>
      <c r="AK70" s="14">
        <f t="shared" si="25"/>
        <v>0.0838328324304115</v>
      </c>
      <c r="AL70" s="14">
        <f t="shared" si="25"/>
        <v>0.07046292559597198</v>
      </c>
      <c r="AM70" s="14">
        <f t="shared" si="25"/>
        <v>0.12232414596300238</v>
      </c>
      <c r="AN70" s="14">
        <f t="shared" si="25"/>
        <v>0.12281219784624056</v>
      </c>
      <c r="AO70" s="14">
        <f>AO65/AO68</f>
        <v>0.0915871536136781</v>
      </c>
      <c r="AP70" s="14">
        <f t="shared" si="25"/>
        <v>0.07448608513171855</v>
      </c>
      <c r="AQ70" s="14">
        <f t="shared" si="25"/>
        <v>0.09309256298631241</v>
      </c>
      <c r="AR70" s="14">
        <f>AR65/AR68</f>
        <v>0.10810249082107441</v>
      </c>
      <c r="AS70" s="14">
        <f t="shared" si="25"/>
        <v>0.08347415622296711</v>
      </c>
      <c r="AT70" s="14">
        <f>AT65/AT68</f>
        <v>0.09360514414134188</v>
      </c>
      <c r="AU70" s="14">
        <f t="shared" si="25"/>
        <v>0.0687502993821035</v>
      </c>
      <c r="AV70" s="14">
        <f>AV65/AV68</f>
        <v>0.07609783574015652</v>
      </c>
      <c r="AW70" s="14">
        <f t="shared" si="25"/>
        <v>0.08830549438663522</v>
      </c>
      <c r="AX70" s="14">
        <f t="shared" si="25"/>
        <v>0.07735205889020862</v>
      </c>
      <c r="AY70"/>
      <c r="AZ70" s="14">
        <f t="shared" si="25"/>
        <v>0.08214579593673778</v>
      </c>
      <c r="BA70" s="14">
        <f>BA65/BA68</f>
        <v>0.10237915336687667</v>
      </c>
      <c r="BB70" s="14">
        <f t="shared" si="25"/>
        <v>0.09372753655268742</v>
      </c>
      <c r="BC70" s="14">
        <f t="shared" si="25"/>
        <v>0.07671771345279688</v>
      </c>
      <c r="BD70" s="14">
        <f t="shared" si="25"/>
        <v>0.06414591733601163</v>
      </c>
      <c r="BE70" s="14">
        <f t="shared" si="25"/>
        <v>0.062288706456587226</v>
      </c>
      <c r="BF70" s="14">
        <f t="shared" si="25"/>
        <v>0.08226064290470203</v>
      </c>
      <c r="BG70" s="14">
        <f>BG65/BG68</f>
        <v>0.046963514476622004</v>
      </c>
      <c r="BH70" s="14">
        <f>BH65/BH68</f>
        <v>0.10688503550371904</v>
      </c>
      <c r="BI70" s="14">
        <f t="shared" si="25"/>
        <v>0.07072816707253617</v>
      </c>
      <c r="BJ70" s="14">
        <f t="shared" si="25"/>
        <v>0.0624718671292419</v>
      </c>
      <c r="BK70"/>
      <c r="BL70" s="14">
        <f t="shared" si="25"/>
        <v>0.06730932909924031</v>
      </c>
      <c r="BM70" s="14">
        <f t="shared" si="25"/>
        <v>0.09653978620657677</v>
      </c>
      <c r="BN70"/>
      <c r="BO70"/>
      <c r="BP70" s="14"/>
      <c r="BQ70" s="14"/>
      <c r="BR70" s="14"/>
      <c r="BS70" s="14">
        <f>BS65/BS68</f>
        <v>0.0887410509864128</v>
      </c>
      <c r="BT70" s="14">
        <f aca="true" t="shared" si="26" ref="BT70:BZ70">BT65/BT68</f>
        <v>0.07841746146846788</v>
      </c>
      <c r="BU70" s="14">
        <f t="shared" si="26"/>
        <v>0.08771392637234741</v>
      </c>
      <c r="BV70" s="14">
        <f t="shared" si="26"/>
        <v>0.09197804161339443</v>
      </c>
      <c r="BW70" s="14">
        <f t="shared" si="26"/>
        <v>0.08832629772284507</v>
      </c>
      <c r="BX70" s="14">
        <f t="shared" si="26"/>
        <v>0.10930985314642945</v>
      </c>
      <c r="BY70" s="14"/>
      <c r="BZ70" s="14">
        <f t="shared" si="26"/>
        <v>0.08874105098641287</v>
      </c>
      <c r="CA70" s="8"/>
      <c r="CB70" s="8"/>
    </row>
    <row r="71" spans="1:80" ht="12.75">
      <c r="A71" s="74" t="s">
        <v>339</v>
      </c>
      <c r="B71" s="14">
        <v>0.0127</v>
      </c>
      <c r="C71" s="14">
        <v>0.0127</v>
      </c>
      <c r="D71" s="14">
        <v>0.0127</v>
      </c>
      <c r="E71" s="14">
        <v>0.0127</v>
      </c>
      <c r="F71" s="14">
        <v>0.0127</v>
      </c>
      <c r="G71" s="14">
        <v>0.0127</v>
      </c>
      <c r="H71" s="14">
        <v>0.0127</v>
      </c>
      <c r="I71"/>
      <c r="J71" s="14">
        <v>0.0127</v>
      </c>
      <c r="K71" s="14">
        <v>0.0127</v>
      </c>
      <c r="L71" s="14">
        <v>0.0127</v>
      </c>
      <c r="M71" s="14">
        <v>0.0127</v>
      </c>
      <c r="N71" s="14">
        <v>0.0127</v>
      </c>
      <c r="O71" s="14">
        <v>0.0127</v>
      </c>
      <c r="P71" s="14">
        <v>0.0127</v>
      </c>
      <c r="Q71" s="14">
        <v>0.0127</v>
      </c>
      <c r="R71" s="14">
        <v>0.0127</v>
      </c>
      <c r="S71" s="14">
        <v>0.0127</v>
      </c>
      <c r="T71" s="14">
        <v>0.0127</v>
      </c>
      <c r="U71" s="14">
        <v>0.0127</v>
      </c>
      <c r="V71" s="14">
        <v>0.0127</v>
      </c>
      <c r="W71" s="14">
        <v>0.0127</v>
      </c>
      <c r="X71"/>
      <c r="Y71"/>
      <c r="Z71" s="14">
        <v>0.0127</v>
      </c>
      <c r="AA71"/>
      <c r="AB71" s="14">
        <v>0.0127</v>
      </c>
      <c r="AC71" s="14">
        <v>0.0127</v>
      </c>
      <c r="AD71" s="14">
        <v>0.0127</v>
      </c>
      <c r="AE71" s="14">
        <v>0.0127</v>
      </c>
      <c r="AF71"/>
      <c r="AG71" s="14">
        <v>0.0127</v>
      </c>
      <c r="AH71" s="14">
        <v>0.0127</v>
      </c>
      <c r="AI71"/>
      <c r="AJ71" s="14">
        <v>0.0127</v>
      </c>
      <c r="AK71" s="14">
        <v>0.0127</v>
      </c>
      <c r="AL71" s="14">
        <v>0.0127</v>
      </c>
      <c r="AM71" s="14">
        <v>0.0127</v>
      </c>
      <c r="AN71" s="14">
        <v>0.0127</v>
      </c>
      <c r="AO71" s="14">
        <v>0.0127</v>
      </c>
      <c r="AP71" s="14">
        <v>0.0127</v>
      </c>
      <c r="AQ71" s="14">
        <v>0.0127</v>
      </c>
      <c r="AR71" s="14">
        <v>0.0127</v>
      </c>
      <c r="AS71" s="14">
        <v>0.0127</v>
      </c>
      <c r="AT71" s="14">
        <v>0.0127</v>
      </c>
      <c r="AU71" s="14">
        <v>0.0127</v>
      </c>
      <c r="AV71" s="14">
        <v>0.0127</v>
      </c>
      <c r="AW71" s="14">
        <v>0.0127</v>
      </c>
      <c r="AX71" s="14">
        <v>0.0127</v>
      </c>
      <c r="AY71"/>
      <c r="AZ71" s="14">
        <v>0.0127</v>
      </c>
      <c r="BA71" s="14">
        <v>0.0127</v>
      </c>
      <c r="BB71" s="14">
        <v>0.0127</v>
      </c>
      <c r="BC71" s="14">
        <v>0.0127</v>
      </c>
      <c r="BD71" s="14">
        <v>0.0127</v>
      </c>
      <c r="BE71" s="14">
        <v>0.0127</v>
      </c>
      <c r="BF71" s="14">
        <v>0.0127</v>
      </c>
      <c r="BG71" s="14">
        <v>0.0127</v>
      </c>
      <c r="BH71" s="14">
        <v>0.0127</v>
      </c>
      <c r="BI71" s="14">
        <v>0.0127</v>
      </c>
      <c r="BJ71" s="14">
        <v>0.0127</v>
      </c>
      <c r="BK71"/>
      <c r="BL71" s="14">
        <v>0.0127</v>
      </c>
      <c r="BM71" s="14">
        <v>0.0127</v>
      </c>
      <c r="BN71"/>
      <c r="BO71"/>
      <c r="BP71" s="14"/>
      <c r="BQ71" s="14"/>
      <c r="BR71" s="14"/>
      <c r="BS71" s="14">
        <v>0.0127</v>
      </c>
      <c r="BT71" s="14">
        <v>0.0127</v>
      </c>
      <c r="BU71" s="14">
        <v>0.0127</v>
      </c>
      <c r="BV71" s="14">
        <v>0.0127</v>
      </c>
      <c r="BW71" s="14">
        <v>0.0127</v>
      </c>
      <c r="BX71" s="14">
        <v>0.0127</v>
      </c>
      <c r="BY71" s="14"/>
      <c r="BZ71" s="14">
        <v>0.0127</v>
      </c>
      <c r="CA71" s="9"/>
      <c r="CB71" s="9"/>
    </row>
    <row r="72" spans="1:78" ht="12.75">
      <c r="A72" s="212" t="s">
        <v>170</v>
      </c>
      <c r="X72"/>
      <c r="Y72"/>
      <c r="BK72"/>
      <c r="BN72"/>
      <c r="BO72"/>
      <c r="BS72" s="169"/>
      <c r="BT72" s="169"/>
      <c r="BU72" s="169"/>
      <c r="BV72" s="169"/>
      <c r="BW72" s="169"/>
      <c r="BX72" s="169"/>
      <c r="BY72" s="169"/>
      <c r="BZ72" s="169"/>
    </row>
    <row r="73" spans="1:78" ht="12.75">
      <c r="A73" s="47" t="s">
        <v>203</v>
      </c>
      <c r="X73"/>
      <c r="Y73"/>
      <c r="BK73"/>
      <c r="BN73"/>
      <c r="BO73"/>
      <c r="BS73" s="169"/>
      <c r="BT73" s="169"/>
      <c r="BU73" s="169"/>
      <c r="BV73" s="169"/>
      <c r="BW73" s="169"/>
      <c r="BX73" s="169"/>
      <c r="BY73" s="169"/>
      <c r="BZ73" s="169"/>
    </row>
    <row r="74" spans="1:80" ht="12.75">
      <c r="A74" s="47" t="s">
        <v>207</v>
      </c>
      <c r="B74" s="10">
        <f>2*('3.2. Yfirlit'!B28-'3.2. Yfirlit'!B26-'3.2. Yfirlit'!B36-('3.2. Yfirlit'!B42+'3.2. Yfirlit'!B46-'3.2. Yfirlit'!B44))</f>
        <v>9844832.350000001</v>
      </c>
      <c r="C74" s="10">
        <f>2*('3.2. Yfirlit'!C28-'3.2. Yfirlit'!C26-'3.2. Yfirlit'!C36-('3.2. Yfirlit'!C42+'3.2. Yfirlit'!C46-'3.2. Yfirlit'!C44))</f>
        <v>6525474.994</v>
      </c>
      <c r="D74" s="10">
        <f>2*('3.2. Yfirlit'!D28-'3.2. Yfirlit'!D26-'3.2. Yfirlit'!D36-('3.2. Yfirlit'!D42+'3.2. Yfirlit'!D46-'3.2. Yfirlit'!D44))</f>
        <v>4850127.788</v>
      </c>
      <c r="E74" s="10">
        <f>2*('3.2. Yfirlit'!E28-'3.2. Yfirlit'!E26-'3.2. Yfirlit'!E36-('3.2. Yfirlit'!E42+'3.2. Yfirlit'!E46-'3.2. Yfirlit'!E44))</f>
        <v>5372631.948000001</v>
      </c>
      <c r="F74" s="10">
        <f>2*('3.2. Yfirlit'!F28-'3.2. Yfirlit'!F26-'3.2. Yfirlit'!F36-('3.2. Yfirlit'!F42+'3.2. Yfirlit'!F46-'3.2. Yfirlit'!F44))</f>
        <v>4801455.773999999</v>
      </c>
      <c r="G74" s="10">
        <f>2*('3.2. Yfirlit'!G28-'3.2. Yfirlit'!G26-'3.2. Yfirlit'!G36-('3.2. Yfirlit'!G42+'3.2. Yfirlit'!G46-'3.2. Yfirlit'!G44))</f>
        <v>3005734.2679999997</v>
      </c>
      <c r="H74" s="10">
        <f>2*('3.2. Yfirlit'!H28-'3.2. Yfirlit'!H26-'3.2. Yfirlit'!H36-('3.2. Yfirlit'!H42+'3.2. Yfirlit'!H46-'3.2. Yfirlit'!H44))</f>
        <v>2068160.1420000005</v>
      </c>
      <c r="I74"/>
      <c r="J74" s="10">
        <f>2*('3.2. Yfirlit'!J28-'3.2. Yfirlit'!J26-'3.2. Yfirlit'!J36-('3.2. Yfirlit'!J42+'3.2. Yfirlit'!J46-'3.2. Yfirlit'!J44))</f>
        <v>1910342.05</v>
      </c>
      <c r="K74" s="10">
        <f>2*('3.2. Yfirlit'!K28-'3.2. Yfirlit'!K26-'3.2. Yfirlit'!K36-('3.2. Yfirlit'!K42+'3.2. Yfirlit'!K46-'3.2. Yfirlit'!K44))</f>
        <v>1328081.7680000002</v>
      </c>
      <c r="L74" s="10">
        <f>2*('3.2. Yfirlit'!L28-'3.2. Yfirlit'!L26-'3.2. Yfirlit'!L36-('3.2. Yfirlit'!L42+'3.2. Yfirlit'!L46-'3.2. Yfirlit'!L44))</f>
        <v>641065.298</v>
      </c>
      <c r="M74" s="10">
        <f>2*('3.2. Yfirlit'!M28-'3.2. Yfirlit'!M26-'3.2. Yfirlit'!M36-('3.2. Yfirlit'!M42+'3.2. Yfirlit'!M46-'3.2. Yfirlit'!M44))</f>
        <v>1816740.988</v>
      </c>
      <c r="N74" s="10">
        <f>2*('3.2. Yfirlit'!N28-'3.2. Yfirlit'!N26-'3.2. Yfirlit'!N36-('3.2. Yfirlit'!N42+'3.2. Yfirlit'!N46-'3.2. Yfirlit'!N44))</f>
        <v>1609703.378</v>
      </c>
      <c r="O74" s="10">
        <f>2*('3.2. Yfirlit'!O28-'3.2. Yfirlit'!O26-'3.2. Yfirlit'!O36-('3.2. Yfirlit'!O42+'3.2. Yfirlit'!O46-'3.2. Yfirlit'!O44))</f>
        <v>1480411.09</v>
      </c>
      <c r="P74" s="10">
        <f>2*('3.2. Yfirlit'!P28-'3.2. Yfirlit'!P26-'3.2. Yfirlit'!P36-('3.2. Yfirlit'!P42+'3.2. Yfirlit'!P46-'3.2. Yfirlit'!P44))</f>
        <v>1523714.614</v>
      </c>
      <c r="Q74" s="10">
        <f>2*('3.2. Yfirlit'!Q28-'3.2. Yfirlit'!Q26-'3.2. Yfirlit'!Q36-('3.2. Yfirlit'!Q42+'3.2. Yfirlit'!Q46-'3.2. Yfirlit'!Q44))</f>
        <v>1192981.4600000002</v>
      </c>
      <c r="R74" s="10">
        <f>2*('3.2. Yfirlit'!R28-'3.2. Yfirlit'!R26-'3.2. Yfirlit'!R36-('3.2. Yfirlit'!R42+'3.2. Yfirlit'!R46-'3.2. Yfirlit'!R44))</f>
        <v>1579872.162</v>
      </c>
      <c r="S74" s="10">
        <f>2*('3.2. Yfirlit'!S28-'3.2. Yfirlit'!S26-'3.2. Yfirlit'!S36-('3.2. Yfirlit'!S42+'3.2. Yfirlit'!S46-'3.2. Yfirlit'!S44))</f>
        <v>800749.252</v>
      </c>
      <c r="T74" s="10">
        <f>2*('3.2. Yfirlit'!T28-'3.2. Yfirlit'!T26-'3.2. Yfirlit'!T36-('3.2. Yfirlit'!T42+'3.2. Yfirlit'!T46-'3.2. Yfirlit'!T44))</f>
        <v>1038575.676</v>
      </c>
      <c r="U74" s="10">
        <f>2*('3.2. Yfirlit'!U28-'3.2. Yfirlit'!U26-'3.2. Yfirlit'!U36-('3.2. Yfirlit'!U42+'3.2. Yfirlit'!U46-'3.2. Yfirlit'!U44))</f>
        <v>1086599.596</v>
      </c>
      <c r="V74" s="10">
        <f>2*('3.2. Yfirlit'!V28-'3.2. Yfirlit'!V26-'3.2. Yfirlit'!V36-('3.2. Yfirlit'!V42+'3.2. Yfirlit'!V46-'3.2. Yfirlit'!V44))</f>
        <v>782580.9380000001</v>
      </c>
      <c r="W74" s="10">
        <f>2*('3.2. Yfirlit'!W28-'3.2. Yfirlit'!W26-'3.2. Yfirlit'!W36-('3.2. Yfirlit'!W42+'3.2. Yfirlit'!W46-'3.2. Yfirlit'!W44))</f>
        <v>674635.0619999999</v>
      </c>
      <c r="X74"/>
      <c r="Y74"/>
      <c r="Z74" s="10">
        <f>2*('3.2. Yfirlit'!Z28-'3.2. Yfirlit'!Z26-'3.2. Yfirlit'!Z36-('3.2. Yfirlit'!Z42+'3.2. Yfirlit'!Z46-'3.2. Yfirlit'!Z44))</f>
        <v>586213.002</v>
      </c>
      <c r="AA74"/>
      <c r="AB74" s="10">
        <f>2*('3.2. Yfirlit'!AB28-'3.2. Yfirlit'!AB26-'3.2. Yfirlit'!AB36-('3.2. Yfirlit'!AB42+'3.2. Yfirlit'!AB46-'3.2. Yfirlit'!AB44))</f>
        <v>311635.922</v>
      </c>
      <c r="AC74" s="10">
        <f>2*('3.2. Yfirlit'!AC28-'3.2. Yfirlit'!AC26-'3.2. Yfirlit'!AC36-('3.2. Yfirlit'!AC42+'3.2. Yfirlit'!AC46-'3.2. Yfirlit'!AC44))</f>
        <v>383438.35400000005</v>
      </c>
      <c r="AD74" s="10">
        <f>2*('3.2. Yfirlit'!AD28-'3.2. Yfirlit'!AD26-'3.2. Yfirlit'!AD36-('3.2. Yfirlit'!AD42+'3.2. Yfirlit'!AD46-'3.2. Yfirlit'!AD44))</f>
        <v>352600.92199999996</v>
      </c>
      <c r="AE74" s="10">
        <f>2*('3.2. Yfirlit'!AE28-'3.2. Yfirlit'!AE26-'3.2. Yfirlit'!AE36-('3.2. Yfirlit'!AE42+'3.2. Yfirlit'!AE46-'3.2. Yfirlit'!AE44))</f>
        <v>525695.5059999999</v>
      </c>
      <c r="AF74"/>
      <c r="AG74" s="10">
        <f>2*('3.2. Yfirlit'!AG28-'3.2. Yfirlit'!AG26-'3.2. Yfirlit'!AG36-('3.2. Yfirlit'!AG42+'3.2. Yfirlit'!AG46-'3.2. Yfirlit'!AG44))</f>
        <v>467358.006</v>
      </c>
      <c r="AH74" s="10">
        <f>2*('3.2. Yfirlit'!AH28-'3.2. Yfirlit'!AH26-'3.2. Yfirlit'!AH36-('3.2. Yfirlit'!AH42+'3.2. Yfirlit'!AH46-'3.2. Yfirlit'!AH44))</f>
        <v>150141.91</v>
      </c>
      <c r="AI74"/>
      <c r="AJ74" s="10">
        <f>2*('3.2. Yfirlit'!AJ28-'3.2. Yfirlit'!AJ26-'3.2. Yfirlit'!AJ36-('3.2. Yfirlit'!AJ42+'3.2. Yfirlit'!AJ46-'3.2. Yfirlit'!AJ44))</f>
        <v>260958.90000000002</v>
      </c>
      <c r="AK74" s="10">
        <f>2*('3.2. Yfirlit'!AK28-'3.2. Yfirlit'!AK26-'3.2. Yfirlit'!AK36-('3.2. Yfirlit'!AK42+'3.2. Yfirlit'!AK46-'3.2. Yfirlit'!AK44))</f>
        <v>251700.68999999997</v>
      </c>
      <c r="AL74" s="10">
        <f>2*('3.2. Yfirlit'!AL28-'3.2. Yfirlit'!AL26-'3.2. Yfirlit'!AL36-('3.2. Yfirlit'!AL42+'3.2. Yfirlit'!AL46-'3.2. Yfirlit'!AL44))</f>
        <v>178313.468</v>
      </c>
      <c r="AM74" s="10">
        <f>2*('3.2. Yfirlit'!AM28-'3.2. Yfirlit'!AM26-'3.2. Yfirlit'!AM36-('3.2. Yfirlit'!AM42+'3.2. Yfirlit'!AM46-'3.2. Yfirlit'!AM44))</f>
        <v>283234.128</v>
      </c>
      <c r="AN74" s="10">
        <f>2*('3.2. Yfirlit'!AN28-'3.2. Yfirlit'!AN26-'3.2. Yfirlit'!AN36-('3.2. Yfirlit'!AN42+'3.2. Yfirlit'!AN46-'3.2. Yfirlit'!AN44))</f>
        <v>280578.69200000004</v>
      </c>
      <c r="AO74" s="10">
        <f>2*('3.2. Yfirlit'!AO28-'3.2. Yfirlit'!AO26-'3.2. Yfirlit'!AO36-('3.2. Yfirlit'!AO42+'3.2. Yfirlit'!AO46-'3.2. Yfirlit'!AO44))</f>
        <v>177145.58800000002</v>
      </c>
      <c r="AP74" s="10">
        <f>2*('3.2. Yfirlit'!AP28-'3.2. Yfirlit'!AP26-'3.2. Yfirlit'!AP36-('3.2. Yfirlit'!AP42+'3.2. Yfirlit'!AP46-'3.2. Yfirlit'!AP44))</f>
        <v>145832.45799999998</v>
      </c>
      <c r="AQ74" s="10">
        <f>2*('3.2. Yfirlit'!AQ28-'3.2. Yfirlit'!AQ26-'3.2. Yfirlit'!AQ36-('3.2. Yfirlit'!AQ42+'3.2. Yfirlit'!AQ46-'3.2. Yfirlit'!AQ44))</f>
        <v>151350.694</v>
      </c>
      <c r="AR74" s="10">
        <f>2*('3.2. Yfirlit'!AR28-'3.2. Yfirlit'!AR26-'3.2. Yfirlit'!AR36-('3.2. Yfirlit'!AR42+'3.2. Yfirlit'!AR46-'3.2. Yfirlit'!AR44))</f>
        <v>164091.69999999998</v>
      </c>
      <c r="AS74" s="10">
        <f>2*('3.2. Yfirlit'!AS28-'3.2. Yfirlit'!AS26-'3.2. Yfirlit'!AS36-('3.2. Yfirlit'!AS42+'3.2. Yfirlit'!AS46-'3.2. Yfirlit'!AS44))</f>
        <v>126830.05200000003</v>
      </c>
      <c r="AT74" s="10">
        <f>2*('3.2. Yfirlit'!AT28-'3.2. Yfirlit'!AT26-'3.2. Yfirlit'!AT36-('3.2. Yfirlit'!AT42+'3.2. Yfirlit'!AT46-'3.2. Yfirlit'!AT44))</f>
        <v>144302.742</v>
      </c>
      <c r="AU74" s="10">
        <f>2*('3.2. Yfirlit'!AU28-'3.2. Yfirlit'!AU26-'3.2. Yfirlit'!AU36-('3.2. Yfirlit'!AU42+'3.2. Yfirlit'!AU46-'3.2. Yfirlit'!AU44))</f>
        <v>99181.15200000002</v>
      </c>
      <c r="AV74" s="10">
        <f>2*('3.2. Yfirlit'!AV28-'3.2. Yfirlit'!AV26-'3.2. Yfirlit'!AV36-('3.2. Yfirlit'!AV42+'3.2. Yfirlit'!AV46-'3.2. Yfirlit'!AV44))</f>
        <v>90906.426</v>
      </c>
      <c r="AW74" s="10">
        <f>2*('3.2. Yfirlit'!AW28-'3.2. Yfirlit'!AW26-'3.2. Yfirlit'!AW36-('3.2. Yfirlit'!AW42+'3.2. Yfirlit'!AW46-'3.2. Yfirlit'!AW44))</f>
        <v>98236.94799999999</v>
      </c>
      <c r="AX74" s="10">
        <f>2*('3.2. Yfirlit'!AX28-'3.2. Yfirlit'!AX26-'3.2. Yfirlit'!AX36-('3.2. Yfirlit'!AX42+'3.2. Yfirlit'!AX46-'3.2. Yfirlit'!AX44))</f>
        <v>75476.29199999999</v>
      </c>
      <c r="AY74"/>
      <c r="AZ74" s="10">
        <f>2*('3.2. Yfirlit'!AZ28-'3.2. Yfirlit'!AZ26-'3.2. Yfirlit'!AZ36-('3.2. Yfirlit'!AZ42+'3.2. Yfirlit'!AZ46-'3.2. Yfirlit'!AZ44))</f>
        <v>65198.556000000004</v>
      </c>
      <c r="BA74" s="10">
        <f>2*('3.2. Yfirlit'!BA28-'3.2. Yfirlit'!BA26-'3.2. Yfirlit'!BA36-('3.2. Yfirlit'!BA42+'3.2. Yfirlit'!BA46-'3.2. Yfirlit'!BA44))</f>
        <v>78159.162</v>
      </c>
      <c r="BB74" s="10">
        <f>2*('3.2. Yfirlit'!BB28-'3.2. Yfirlit'!BB26-'3.2. Yfirlit'!BB36-('3.2. Yfirlit'!BB42+'3.2. Yfirlit'!BB46-'3.2. Yfirlit'!BB44))</f>
        <v>69678.33400000002</v>
      </c>
      <c r="BC74" s="10">
        <f>2*('3.2. Yfirlit'!BC28-'3.2. Yfirlit'!BC26-'3.2. Yfirlit'!BC36-('3.2. Yfirlit'!BC42+'3.2. Yfirlit'!BC46-'3.2. Yfirlit'!BC44))</f>
        <v>51030.42999999999</v>
      </c>
      <c r="BD74" s="10">
        <f>2*('3.2. Yfirlit'!BD28-'3.2. Yfirlit'!BD26-'3.2. Yfirlit'!BD36-('3.2. Yfirlit'!BD42+'3.2. Yfirlit'!BD46-'3.2. Yfirlit'!BD44))</f>
        <v>27874.588000000003</v>
      </c>
      <c r="BE74" s="10">
        <f>2*('3.2. Yfirlit'!BE28-'3.2. Yfirlit'!BE26-'3.2. Yfirlit'!BE36-('3.2. Yfirlit'!BE42+'3.2. Yfirlit'!BE46-'3.2. Yfirlit'!BE44))</f>
        <v>19568.620000000003</v>
      </c>
      <c r="BF74" s="10">
        <f>2*('3.2. Yfirlit'!BF28-'3.2. Yfirlit'!BF26-'3.2. Yfirlit'!BF36-('3.2. Yfirlit'!BF42+'3.2. Yfirlit'!BF46-'3.2. Yfirlit'!BF44))</f>
        <v>24016.165999999997</v>
      </c>
      <c r="BG74" s="10">
        <f>2*('3.2. Yfirlit'!BG28-'3.2. Yfirlit'!BG26-'3.2. Yfirlit'!BG36-('3.2. Yfirlit'!BG42+'3.2. Yfirlit'!BG46-'3.2. Yfirlit'!BG44))</f>
        <v>13323.746</v>
      </c>
      <c r="BH74" s="10">
        <f>2*('3.2. Yfirlit'!BH28-'3.2. Yfirlit'!BH26-'3.2. Yfirlit'!BH36-('3.2. Yfirlit'!BH42+'3.2. Yfirlit'!BH46-'3.2. Yfirlit'!BH44))</f>
        <v>25197.061999999998</v>
      </c>
      <c r="BI74" s="10">
        <f>2*('3.2. Yfirlit'!BI28-'3.2. Yfirlit'!BI26-'3.2. Yfirlit'!BI36-('3.2. Yfirlit'!BI42+'3.2. Yfirlit'!BI46-'3.2. Yfirlit'!BI44))</f>
        <v>13193.222000000002</v>
      </c>
      <c r="BJ74" s="10">
        <f>2*('3.2. Yfirlit'!BJ28-'3.2. Yfirlit'!BJ26-'3.2. Yfirlit'!BJ36-('3.2. Yfirlit'!BJ42+'3.2. Yfirlit'!BJ46-'3.2. Yfirlit'!BJ44))</f>
        <v>10221.534</v>
      </c>
      <c r="BK74"/>
      <c r="BL74" s="10">
        <f>2*('3.2. Yfirlit'!BL28-'3.2. Yfirlit'!BL26-'3.2. Yfirlit'!BL36-('3.2. Yfirlit'!BL42+'3.2. Yfirlit'!BL46-'3.2. Yfirlit'!BL44))</f>
        <v>4626.702</v>
      </c>
      <c r="BM74" s="10">
        <f>2*('3.2. Yfirlit'!BM28-'3.2. Yfirlit'!BM26-'3.2. Yfirlit'!BM36-('3.2. Yfirlit'!BM42+'3.2. Yfirlit'!BM46-'3.2. Yfirlit'!BM44))</f>
        <v>1939.916</v>
      </c>
      <c r="BN74"/>
      <c r="BO74"/>
      <c r="BP74" s="10"/>
      <c r="BQ74" s="10"/>
      <c r="BR74" s="10"/>
      <c r="BS74" s="10">
        <f>SUM(B74:BM74)</f>
        <v>59643722.18599998</v>
      </c>
      <c r="BT74" s="10">
        <f>SUM(D74+W74+AA74+AB74+AE74+AG74+AO74+AQ74+AS74+AV74+BC74+BD74+BE74+BG74+BJ74+BL74+BK74+BN74+BO74)</f>
        <v>7502330.664000001</v>
      </c>
      <c r="BU74" s="10">
        <f>SUM(C74+F74+G74+K74+L74+N74+P74+Q74+S74+Z74+AK74+AL74+AU74)</f>
        <v>22544369.117999997</v>
      </c>
      <c r="BV74" s="10">
        <f>SUM(B74+E74+H74+I74+J74+M74+O74+R74+U74+V74+Y74+AC74+AD74+AH74+AJ74+AM74+AN74+AP74+AW74+AX74+AZ74+BB74+BF74+BM74)</f>
        <v>28133502.84</v>
      </c>
      <c r="BW74" s="10">
        <f>SUM(BT74:BV74)</f>
        <v>58180202.621999994</v>
      </c>
      <c r="BX74" s="10">
        <f>SUM(T74+X74+AF74+AI74+AR74+AT74+AY74+BA74+BH74+BI74)</f>
        <v>1463519.564</v>
      </c>
      <c r="BY74" s="10"/>
      <c r="BZ74" s="10">
        <f>SUM(BW74:BX74)</f>
        <v>59643722.186</v>
      </c>
      <c r="CA74" s="23"/>
      <c r="CB74" s="23"/>
    </row>
    <row r="75" spans="1:80" ht="12.75">
      <c r="A75" s="47" t="s">
        <v>208</v>
      </c>
      <c r="B75" s="10">
        <f>'3.2. Yfirlit'!B59+'3.2. Yfirlit'!B62-('3.2. Yfirlit'!B28-'3.2. Yfirlit'!B26-'3.2. Yfirlit'!B36-('3.2. Yfirlit'!B42+'3.2. Yfirlit'!B46-'3.2. Yfirlit'!B44))</f>
        <v>109296904.112</v>
      </c>
      <c r="C75" s="10">
        <f>'3.2. Yfirlit'!C59+'3.2. Yfirlit'!C62-('3.2. Yfirlit'!C28-'3.2. Yfirlit'!C26-'3.2. Yfirlit'!C36-('3.2. Yfirlit'!C42+'3.2. Yfirlit'!C46-'3.2. Yfirlit'!C44))</f>
        <v>66512196.82799999</v>
      </c>
      <c r="D75" s="10">
        <f>'3.2. Yfirlit'!D59+'3.2. Yfirlit'!D62-('3.2. Yfirlit'!D28-'3.2. Yfirlit'!D26-'3.2. Yfirlit'!D36-('3.2. Yfirlit'!D42+'3.2. Yfirlit'!D46-'3.2. Yfirlit'!D44))</f>
        <v>67642960.69300002</v>
      </c>
      <c r="E75" s="10">
        <f>'3.2. Yfirlit'!E59+'3.2. Yfirlit'!E62-('3.2. Yfirlit'!E28-'3.2. Yfirlit'!E26-'3.2. Yfirlit'!E36-('3.2. Yfirlit'!E42+'3.2. Yfirlit'!E46-'3.2. Yfirlit'!E44))</f>
        <v>57869721.709</v>
      </c>
      <c r="F75" s="10">
        <f>'3.2. Yfirlit'!F59+'3.2. Yfirlit'!F62-('3.2. Yfirlit'!F28-'3.2. Yfirlit'!F26-'3.2. Yfirlit'!F36-('3.2. Yfirlit'!F42+'3.2. Yfirlit'!F46-'3.2. Yfirlit'!F44))</f>
        <v>56005248.147999994</v>
      </c>
      <c r="G75" s="10">
        <f>'3.2. Yfirlit'!G59+'3.2. Yfirlit'!G62-('3.2. Yfirlit'!G28-'3.2. Yfirlit'!G26-'3.2. Yfirlit'!G36-('3.2. Yfirlit'!G42+'3.2. Yfirlit'!G46-'3.2. Yfirlit'!G44))</f>
        <v>26123471.790000003</v>
      </c>
      <c r="H75" s="10">
        <f>'3.2. Yfirlit'!H59+'3.2. Yfirlit'!H62-('3.2. Yfirlit'!H28-'3.2. Yfirlit'!H26-'3.2. Yfirlit'!H36-('3.2. Yfirlit'!H42+'3.2. Yfirlit'!H46-'3.2. Yfirlit'!H44))</f>
        <v>26825387.257</v>
      </c>
      <c r="I75"/>
      <c r="J75" s="10">
        <f>'3.2. Yfirlit'!J59+'3.2. Yfirlit'!J62-('3.2. Yfirlit'!J28-'3.2. Yfirlit'!J26-'3.2. Yfirlit'!J36-('3.2. Yfirlit'!J42+'3.2. Yfirlit'!J46-'3.2. Yfirlit'!J44))</f>
        <v>22201861.353</v>
      </c>
      <c r="K75" s="10">
        <f>'3.2. Yfirlit'!K59+'3.2. Yfirlit'!K62-('3.2. Yfirlit'!K28-'3.2. Yfirlit'!K26-'3.2. Yfirlit'!K36-('3.2. Yfirlit'!K42+'3.2. Yfirlit'!K46-'3.2. Yfirlit'!K44))</f>
        <v>20613517.153</v>
      </c>
      <c r="L75" s="10">
        <f>'3.2. Yfirlit'!L59+'3.2. Yfirlit'!L62-('3.2. Yfirlit'!L28-'3.2. Yfirlit'!L26-'3.2. Yfirlit'!L36-('3.2. Yfirlit'!L42+'3.2. Yfirlit'!L46-'3.2. Yfirlit'!L44))</f>
        <v>21550907.815999996</v>
      </c>
      <c r="M75" s="10">
        <f>'3.2. Yfirlit'!M59+'3.2. Yfirlit'!M62-('3.2. Yfirlit'!M28-'3.2. Yfirlit'!M26-'3.2. Yfirlit'!M36-('3.2. Yfirlit'!M42+'3.2. Yfirlit'!M46-'3.2. Yfirlit'!M44))</f>
        <v>18055238.307</v>
      </c>
      <c r="N75" s="10">
        <f>'3.2. Yfirlit'!N59+'3.2. Yfirlit'!N62-('3.2. Yfirlit'!N28-'3.2. Yfirlit'!N26-'3.2. Yfirlit'!N36-('3.2. Yfirlit'!N42+'3.2. Yfirlit'!N46-'3.2. Yfirlit'!N44))</f>
        <v>17635404.059000004</v>
      </c>
      <c r="O75" s="10">
        <f>'3.2. Yfirlit'!O59+'3.2. Yfirlit'!O62-('3.2. Yfirlit'!O28-'3.2. Yfirlit'!O26-'3.2. Yfirlit'!O36-('3.2. Yfirlit'!O42+'3.2. Yfirlit'!O46-'3.2. Yfirlit'!O44))</f>
        <v>15817684.282000002</v>
      </c>
      <c r="P75" s="10">
        <f>'3.2. Yfirlit'!P59+'3.2. Yfirlit'!P62-('3.2. Yfirlit'!P28-'3.2. Yfirlit'!P26-'3.2. Yfirlit'!P36-('3.2. Yfirlit'!P42+'3.2. Yfirlit'!P46-'3.2. Yfirlit'!P44))</f>
        <v>14676928.980999999</v>
      </c>
      <c r="Q75" s="10">
        <f>'3.2. Yfirlit'!Q59+'3.2. Yfirlit'!Q62-('3.2. Yfirlit'!Q28-'3.2. Yfirlit'!Q26-'3.2. Yfirlit'!Q36-('3.2. Yfirlit'!Q42+'3.2. Yfirlit'!Q46-'3.2. Yfirlit'!Q44))</f>
        <v>14090780.174999999</v>
      </c>
      <c r="R75" s="10">
        <f>'3.2. Yfirlit'!R59+'3.2. Yfirlit'!R62-('3.2. Yfirlit'!R28-'3.2. Yfirlit'!R26-'3.2. Yfirlit'!R36-('3.2. Yfirlit'!R42+'3.2. Yfirlit'!R46-'3.2. Yfirlit'!R44))</f>
        <v>12754794.086</v>
      </c>
      <c r="S75" s="10">
        <f>'3.2. Yfirlit'!S59+'3.2. Yfirlit'!S62-('3.2. Yfirlit'!S28-'3.2. Yfirlit'!S26-'3.2. Yfirlit'!S36-('3.2. Yfirlit'!S42+'3.2. Yfirlit'!S46-'3.2. Yfirlit'!S44))</f>
        <v>10004203.072</v>
      </c>
      <c r="T75" s="10">
        <f>'3.2. Yfirlit'!T59+'3.2. Yfirlit'!T62-('3.2. Yfirlit'!T28-'3.2. Yfirlit'!T26-'3.2. Yfirlit'!T36-('3.2. Yfirlit'!T42+'3.2. Yfirlit'!T46-'3.2. Yfirlit'!T44))</f>
        <v>9169343.685000002</v>
      </c>
      <c r="U75" s="10">
        <f>'3.2. Yfirlit'!U59+'3.2. Yfirlit'!U62-('3.2. Yfirlit'!U28-'3.2. Yfirlit'!U26-'3.2. Yfirlit'!U36-('3.2. Yfirlit'!U42+'3.2. Yfirlit'!U46-'3.2. Yfirlit'!U44))</f>
        <v>9537044.535</v>
      </c>
      <c r="V75" s="10">
        <f>'3.2. Yfirlit'!V59+'3.2. Yfirlit'!V62-('3.2. Yfirlit'!V28-'3.2. Yfirlit'!V26-'3.2. Yfirlit'!V36-('3.2. Yfirlit'!V42+'3.2. Yfirlit'!V46-'3.2. Yfirlit'!V44))</f>
        <v>9671572.103</v>
      </c>
      <c r="W75" s="10">
        <f>'3.2. Yfirlit'!W59+'3.2. Yfirlit'!W62-('3.2. Yfirlit'!W28-'3.2. Yfirlit'!W26-'3.2. Yfirlit'!W36-('3.2. Yfirlit'!W42+'3.2. Yfirlit'!W46-'3.2. Yfirlit'!W44))</f>
        <v>8576422.572999999</v>
      </c>
      <c r="X75"/>
      <c r="Y75"/>
      <c r="Z75" s="10">
        <f>'3.2. Yfirlit'!Z59+'3.2. Yfirlit'!Z62-('3.2. Yfirlit'!Z28-'3.2. Yfirlit'!Z26-'3.2. Yfirlit'!Z36-('3.2. Yfirlit'!Z42+'3.2. Yfirlit'!Z46-'3.2. Yfirlit'!Z44))</f>
        <v>7070405.9059999995</v>
      </c>
      <c r="AA75"/>
      <c r="AB75" s="10">
        <f>'3.2. Yfirlit'!AB59+'3.2. Yfirlit'!AB62-('3.2. Yfirlit'!AB28-'3.2. Yfirlit'!AB26-'3.2. Yfirlit'!AB36-('3.2. Yfirlit'!AB42+'3.2. Yfirlit'!AB46-'3.2. Yfirlit'!AB44))</f>
        <v>4983847.437</v>
      </c>
      <c r="AC75" s="10">
        <f>'3.2. Yfirlit'!AC59+'3.2. Yfirlit'!AC62-('3.2. Yfirlit'!AC28-'3.2. Yfirlit'!AC26-'3.2. Yfirlit'!AC36-('3.2. Yfirlit'!AC42+'3.2. Yfirlit'!AC46-'3.2. Yfirlit'!AC44))</f>
        <v>4802249.004</v>
      </c>
      <c r="AD75" s="10">
        <f>'3.2. Yfirlit'!AD59+'3.2. Yfirlit'!AD62-('3.2. Yfirlit'!AD28-'3.2. Yfirlit'!AD26-'3.2. Yfirlit'!AD36-('3.2. Yfirlit'!AD42+'3.2. Yfirlit'!AD46-'3.2. Yfirlit'!AD44))</f>
        <v>4637741.181</v>
      </c>
      <c r="AE75" s="10">
        <f>'3.2. Yfirlit'!AE59+'3.2. Yfirlit'!AE62-('3.2. Yfirlit'!AE28-'3.2. Yfirlit'!AE26-'3.2. Yfirlit'!AE36-('3.2. Yfirlit'!AE42+'3.2. Yfirlit'!AE46-'3.2. Yfirlit'!AE44))</f>
        <v>4217065.678</v>
      </c>
      <c r="AF75"/>
      <c r="AG75" s="10">
        <f>'3.2. Yfirlit'!AG59+'3.2. Yfirlit'!AG62-('3.2. Yfirlit'!AG28-'3.2. Yfirlit'!AG26-'3.2. Yfirlit'!AG36-('3.2. Yfirlit'!AG42+'3.2. Yfirlit'!AG46-'3.2. Yfirlit'!AG44))</f>
        <v>3939430.858</v>
      </c>
      <c r="AH75" s="10">
        <f>'3.2. Yfirlit'!AH59+'3.2. Yfirlit'!AH62-('3.2. Yfirlit'!AH28-'3.2. Yfirlit'!AH26-'3.2. Yfirlit'!AH36-('3.2. Yfirlit'!AH42+'3.2. Yfirlit'!AH46-'3.2. Yfirlit'!AH44))</f>
        <v>4093309.647</v>
      </c>
      <c r="AI75"/>
      <c r="AJ75" s="10">
        <f>'3.2. Yfirlit'!AJ59+'3.2. Yfirlit'!AJ62-('3.2. Yfirlit'!AJ28-'3.2. Yfirlit'!AJ26-'3.2. Yfirlit'!AJ36-('3.2. Yfirlit'!AJ42+'3.2. Yfirlit'!AJ46-'3.2. Yfirlit'!AJ44))</f>
        <v>3101329.66</v>
      </c>
      <c r="AK75" s="10">
        <f>'3.2. Yfirlit'!AK59+'3.2. Yfirlit'!AK62-('3.2. Yfirlit'!AK28-'3.2. Yfirlit'!AK26-'3.2. Yfirlit'!AK36-('3.2. Yfirlit'!AK42+'3.2. Yfirlit'!AK46-'3.2. Yfirlit'!AK44))</f>
        <v>3080755.78</v>
      </c>
      <c r="AL75" s="10">
        <f>'3.2. Yfirlit'!AL59+'3.2. Yfirlit'!AL62-('3.2. Yfirlit'!AL28-'3.2. Yfirlit'!AL26-'3.2. Yfirlit'!AL36-('3.2. Yfirlit'!AL42+'3.2. Yfirlit'!AL46-'3.2. Yfirlit'!AL44))</f>
        <v>2595395.5539999995</v>
      </c>
      <c r="AM75" s="10">
        <f>'3.2. Yfirlit'!AM59+'3.2. Yfirlit'!AM62-('3.2. Yfirlit'!AM28-'3.2. Yfirlit'!AM26-'3.2. Yfirlit'!AM36-('3.2. Yfirlit'!AM42+'3.2. Yfirlit'!AM46-'3.2. Yfirlit'!AM44))</f>
        <v>2343979.875</v>
      </c>
      <c r="AN75" s="10">
        <f>'3.2. Yfirlit'!AN59+'3.2. Yfirlit'!AN62-('3.2. Yfirlit'!AN28-'3.2. Yfirlit'!AN26-'3.2. Yfirlit'!AN36-('3.2. Yfirlit'!AN42+'3.2. Yfirlit'!AN46-'3.2. Yfirlit'!AN44))</f>
        <v>2285064.9869999997</v>
      </c>
      <c r="AO75" s="10">
        <f>'3.2. Yfirlit'!AO59+'3.2. Yfirlit'!AO62-('3.2. Yfirlit'!AO28-'3.2. Yfirlit'!AO26-'3.2. Yfirlit'!AO36-('3.2. Yfirlit'!AO42+'3.2. Yfirlit'!AO46-'3.2. Yfirlit'!AO44))</f>
        <v>1969497.167</v>
      </c>
      <c r="AP75" s="10">
        <f>'3.2. Yfirlit'!AP59+'3.2. Yfirlit'!AP62-('3.2. Yfirlit'!AP28-'3.2. Yfirlit'!AP26-'3.2. Yfirlit'!AP36-('3.2. Yfirlit'!AP42+'3.2. Yfirlit'!AP46-'3.2. Yfirlit'!AP44))</f>
        <v>1979375.361</v>
      </c>
      <c r="AQ75" s="10">
        <f>'3.2. Yfirlit'!AQ59+'3.2. Yfirlit'!AQ62-('3.2. Yfirlit'!AQ28-'3.2. Yfirlit'!AQ26-'3.2. Yfirlit'!AQ36-('3.2. Yfirlit'!AQ42+'3.2. Yfirlit'!AQ46-'3.2. Yfirlit'!AQ44))</f>
        <v>1698488.449</v>
      </c>
      <c r="AR75" s="10">
        <f>'3.2. Yfirlit'!AR59+'3.2. Yfirlit'!AR62-('3.2. Yfirlit'!AR28-'3.2. Yfirlit'!AR26-'3.2. Yfirlit'!AR36-('3.2. Yfirlit'!AR42+'3.2. Yfirlit'!AR46-'3.2. Yfirlit'!AR44))</f>
        <v>1539402.764</v>
      </c>
      <c r="AS75" s="10">
        <f>'3.2. Yfirlit'!AS59+'3.2. Yfirlit'!AS62-('3.2. Yfirlit'!AS28-'3.2. Yfirlit'!AS26-'3.2. Yfirlit'!AS36-('3.2. Yfirlit'!AS42+'3.2. Yfirlit'!AS46-'3.2. Yfirlit'!AS44))</f>
        <v>1567574.906</v>
      </c>
      <c r="AT75" s="10">
        <f>'3.2. Yfirlit'!AT59+'3.2. Yfirlit'!AT62-('3.2. Yfirlit'!AT28-'3.2. Yfirlit'!AT26-'3.2. Yfirlit'!AT36-('3.2. Yfirlit'!AT42+'3.2. Yfirlit'!AT46-'3.2. Yfirlit'!AT44))</f>
        <v>1559939.608</v>
      </c>
      <c r="AU75" s="10">
        <f>'3.2. Yfirlit'!AU59+'3.2. Yfirlit'!AU62-('3.2. Yfirlit'!AU28-'3.2. Yfirlit'!AU26-'3.2. Yfirlit'!AU36-('3.2. Yfirlit'!AU42+'3.2. Yfirlit'!AU46-'3.2. Yfirlit'!AU44))</f>
        <v>1515604.3099999998</v>
      </c>
      <c r="AV75" s="10">
        <f>'3.2. Yfirlit'!AV59+'3.2. Yfirlit'!AV62-('3.2. Yfirlit'!AV28-'3.2. Yfirlit'!AV26-'3.2. Yfirlit'!AV36-('3.2. Yfirlit'!AV42+'3.2. Yfirlit'!AV46-'3.2. Yfirlit'!AV44))</f>
        <v>1215920.347</v>
      </c>
      <c r="AW75" s="10">
        <f>'3.2. Yfirlit'!AW59+'3.2. Yfirlit'!AW62-('3.2. Yfirlit'!AW28-'3.2. Yfirlit'!AW26-'3.2. Yfirlit'!AW36-('3.2. Yfirlit'!AW42+'3.2. Yfirlit'!AW46-'3.2. Yfirlit'!AW44))</f>
        <v>1178781.7280000001</v>
      </c>
      <c r="AX75" s="10">
        <f>'3.2. Yfirlit'!AX59+'3.2. Yfirlit'!AX62-('3.2. Yfirlit'!AX28-'3.2. Yfirlit'!AX26-'3.2. Yfirlit'!AX36-('3.2. Yfirlit'!AX42+'3.2. Yfirlit'!AX46-'3.2. Yfirlit'!AX44))</f>
        <v>1023866.9040000001</v>
      </c>
      <c r="AY75"/>
      <c r="AZ75" s="10">
        <f>'3.2. Yfirlit'!AZ59+'3.2. Yfirlit'!AZ62-('3.2. Yfirlit'!AZ28-'3.2. Yfirlit'!AZ26-'3.2. Yfirlit'!AZ36-('3.2. Yfirlit'!AZ42+'3.2. Yfirlit'!AZ46-'3.2. Yfirlit'!AZ44))</f>
        <v>829051.0680000001</v>
      </c>
      <c r="BA75" s="10">
        <f>'3.2. Yfirlit'!BA59+'3.2. Yfirlit'!BA62-('3.2. Yfirlit'!BA28-'3.2. Yfirlit'!BA26-'3.2. Yfirlit'!BA36-('3.2. Yfirlit'!BA42+'3.2. Yfirlit'!BA46-'3.2. Yfirlit'!BA44))</f>
        <v>767450.782</v>
      </c>
      <c r="BB75" s="10">
        <f>'3.2. Yfirlit'!BB59+'3.2. Yfirlit'!BB62-('3.2. Yfirlit'!BB28-'3.2. Yfirlit'!BB26-'3.2. Yfirlit'!BB36-('3.2. Yfirlit'!BB42+'3.2. Yfirlit'!BB46-'3.2. Yfirlit'!BB44))</f>
        <v>747737.142</v>
      </c>
      <c r="BC75" s="10">
        <f>'3.2. Yfirlit'!BC59+'3.2. Yfirlit'!BC62-('3.2. Yfirlit'!BC28-'3.2. Yfirlit'!BC26-'3.2. Yfirlit'!BC36-('3.2. Yfirlit'!BC42+'3.2. Yfirlit'!BC46-'3.2. Yfirlit'!BC44))</f>
        <v>698176.0229999999</v>
      </c>
      <c r="BD75" s="10">
        <f>'3.2. Yfirlit'!BD59+'3.2. Yfirlit'!BD62-('3.2. Yfirlit'!BD28-'3.2. Yfirlit'!BD26-'3.2. Yfirlit'!BD36-('3.2. Yfirlit'!BD42+'3.2. Yfirlit'!BD46-'3.2. Yfirlit'!BD44))</f>
        <v>465665.694</v>
      </c>
      <c r="BE75" s="10">
        <f>'3.2. Yfirlit'!BE59+'3.2. Yfirlit'!BE62-('3.2. Yfirlit'!BE28-'3.2. Yfirlit'!BE26-'3.2. Yfirlit'!BE36-('3.2. Yfirlit'!BE42+'3.2. Yfirlit'!BE46-'3.2. Yfirlit'!BE44))</f>
        <v>373657.98300000007</v>
      </c>
      <c r="BF75" s="10">
        <f>'3.2. Yfirlit'!BF59+'3.2. Yfirlit'!BF62-('3.2. Yfirlit'!BF28-'3.2. Yfirlit'!BF26-'3.2. Yfirlit'!BF36-('3.2. Yfirlit'!BF42+'3.2. Yfirlit'!BF46-'3.2. Yfirlit'!BF44))</f>
        <v>315904.145</v>
      </c>
      <c r="BG75" s="10">
        <f>'3.2. Yfirlit'!BG59+'3.2. Yfirlit'!BG62-('3.2. Yfirlit'!BG28-'3.2. Yfirlit'!BG26-'3.2. Yfirlit'!BG36-('3.2. Yfirlit'!BG42+'3.2. Yfirlit'!BG46-'3.2. Yfirlit'!BG44))</f>
        <v>295981.002</v>
      </c>
      <c r="BH75" s="10">
        <f>'3.2. Yfirlit'!BH59+'3.2. Yfirlit'!BH62-('3.2. Yfirlit'!BH28-'3.2. Yfirlit'!BH26-'3.2. Yfirlit'!BH36-('3.2. Yfirlit'!BH42+'3.2. Yfirlit'!BH46-'3.2. Yfirlit'!BH44))</f>
        <v>238455.922</v>
      </c>
      <c r="BI75" s="10">
        <f>'3.2. Yfirlit'!BI59+'3.2. Yfirlit'!BI62-('3.2. Yfirlit'!BI28-'3.2. Yfirlit'!BI26-'3.2. Yfirlit'!BI36-('3.2. Yfirlit'!BI42+'3.2. Yfirlit'!BI46-'3.2. Yfirlit'!BI44))</f>
        <v>206714.031</v>
      </c>
      <c r="BJ75" s="10">
        <f>'3.2. Yfirlit'!BJ59+'3.2. Yfirlit'!BJ62-('3.2. Yfirlit'!BJ28-'3.2. Yfirlit'!BJ26-'3.2. Yfirlit'!BJ36-('3.2. Yfirlit'!BJ42+'3.2. Yfirlit'!BJ46-'3.2. Yfirlit'!BJ44))</f>
        <v>186574.43300000002</v>
      </c>
      <c r="BK75"/>
      <c r="BL75" s="10">
        <f>'3.2. Yfirlit'!BL59+'3.2. Yfirlit'!BL62-('3.2. Yfirlit'!BL28-'3.2. Yfirlit'!BL26-'3.2. Yfirlit'!BL36-('3.2. Yfirlit'!BL42+'3.2. Yfirlit'!BL46-'3.2. Yfirlit'!BL44))</f>
        <v>68737.90100000001</v>
      </c>
      <c r="BM75" s="10">
        <f>'3.2. Yfirlit'!BM59+'3.2. Yfirlit'!BM62-('3.2. Yfirlit'!BM28-'3.2. Yfirlit'!BM26-'3.2. Yfirlit'!BM36-('3.2. Yfirlit'!BM42+'3.2. Yfirlit'!BM46-'3.2. Yfirlit'!BM44))</f>
        <v>21095.184</v>
      </c>
      <c r="BN75"/>
      <c r="BO75"/>
      <c r="BP75" s="10"/>
      <c r="BQ75" s="10"/>
      <c r="BR75" s="10"/>
      <c r="BS75" s="10">
        <f>SUM(B75:BM75)</f>
        <v>682245821.138</v>
      </c>
      <c r="BT75" s="10">
        <f>SUM(D75+W75+AA75+AB75+AE75+AG75+AO75+AQ75+AS75+AV75+BC75+BD75+BE75+BG75+BJ75+BL75+BK75+BN75+BO75)</f>
        <v>97900001.14400002</v>
      </c>
      <c r="BU75" s="10">
        <f>SUM(C75+F75+G75+K75+L75+N75+P75+Q75+S75+Z75+AK75+AL75+AU75)</f>
        <v>261474819.57199997</v>
      </c>
      <c r="BV75" s="10">
        <f>SUM(B75+E75+H75+I75+J75+M75+O75+R75+U75+V75+Y75+AC75+AD75+AH75+AJ75+AM75+AN75+AP75+AW75+AX75+AZ75+BB75+BF75+BM75)</f>
        <v>309389693.63000005</v>
      </c>
      <c r="BW75" s="10">
        <f>SUM(BT75:BV75)</f>
        <v>668764514.346</v>
      </c>
      <c r="BX75" s="10">
        <f>SUM(T75+X75+AF75+AI75+AR75+AT75+AY75+BA75+BH75+BI75)</f>
        <v>13481306.792000003</v>
      </c>
      <c r="BY75" s="10"/>
      <c r="BZ75" s="10">
        <f>SUM(BW75:BX75)</f>
        <v>682245821.138</v>
      </c>
      <c r="CA75" s="23"/>
      <c r="CB75" s="23"/>
    </row>
    <row r="76" spans="1:80" ht="12.75">
      <c r="A76" s="74" t="s">
        <v>170</v>
      </c>
      <c r="B76" s="27">
        <f aca="true" t="shared" si="27" ref="B76:AG76">B74/B75</f>
        <v>0.09007421051845796</v>
      </c>
      <c r="C76" s="27">
        <f>C74/C75</f>
        <v>0.09810944917177862</v>
      </c>
      <c r="D76" s="27">
        <f t="shared" si="27"/>
        <v>0.07170188499010972</v>
      </c>
      <c r="E76" s="27">
        <f t="shared" si="27"/>
        <v>0.09284012069414255</v>
      </c>
      <c r="F76" s="27">
        <f t="shared" si="27"/>
        <v>0.08573224711569222</v>
      </c>
      <c r="G76" s="27">
        <f>G74/G75</f>
        <v>0.11505875988315561</v>
      </c>
      <c r="H76" s="27">
        <f t="shared" si="27"/>
        <v>0.07709712155079218</v>
      </c>
      <c r="I76"/>
      <c r="J76" s="27">
        <f t="shared" si="27"/>
        <v>0.08604422933854</v>
      </c>
      <c r="K76" s="27">
        <f>K74/K75</f>
        <v>0.06442771304588926</v>
      </c>
      <c r="L76" s="27">
        <f t="shared" si="27"/>
        <v>0.029746556547564793</v>
      </c>
      <c r="M76" s="27">
        <f t="shared" si="27"/>
        <v>0.10062126885889128</v>
      </c>
      <c r="N76" s="27">
        <f t="shared" si="27"/>
        <v>0.09127680730277957</v>
      </c>
      <c r="O76" s="27">
        <f t="shared" si="27"/>
        <v>0.09359215063387367</v>
      </c>
      <c r="P76" s="27">
        <f t="shared" si="27"/>
        <v>0.1038169916862392</v>
      </c>
      <c r="Q76" s="27">
        <f t="shared" si="27"/>
        <v>0.08466397496687939</v>
      </c>
      <c r="R76" s="27">
        <f t="shared" si="27"/>
        <v>0.12386496805417735</v>
      </c>
      <c r="S76" s="27">
        <f t="shared" si="27"/>
        <v>0.08004128327234339</v>
      </c>
      <c r="T76" s="27">
        <f>T74/T75</f>
        <v>0.11326608661195577</v>
      </c>
      <c r="U76" s="27">
        <f>U74/U75</f>
        <v>0.11393462534564959</v>
      </c>
      <c r="V76" s="27">
        <f t="shared" si="27"/>
        <v>0.08091558742112395</v>
      </c>
      <c r="W76" s="27">
        <f t="shared" si="27"/>
        <v>0.07866159301943249</v>
      </c>
      <c r="X76"/>
      <c r="Y76"/>
      <c r="Z76" s="27">
        <f t="shared" si="27"/>
        <v>0.08291079886977001</v>
      </c>
      <c r="AA76"/>
      <c r="AB76" s="27">
        <f t="shared" si="27"/>
        <v>0.06252918572234378</v>
      </c>
      <c r="AC76" s="27">
        <f t="shared" si="27"/>
        <v>0.07984557936929504</v>
      </c>
      <c r="AD76" s="27">
        <f t="shared" si="27"/>
        <v>0.0760285898325985</v>
      </c>
      <c r="AE76" s="27">
        <f t="shared" si="27"/>
        <v>0.12465907484972301</v>
      </c>
      <c r="AF76"/>
      <c r="AG76" s="27">
        <f t="shared" si="27"/>
        <v>0.11863592047843984</v>
      </c>
      <c r="AH76" s="27">
        <f>AH74/AH75</f>
        <v>0.036679831957017836</v>
      </c>
      <c r="AI76"/>
      <c r="AJ76" s="27">
        <f aca="true" t="shared" si="28" ref="AJ76:BM76">AJ74/AJ75</f>
        <v>0.08414419897560971</v>
      </c>
      <c r="AK76" s="27">
        <f t="shared" si="28"/>
        <v>0.08170095521171107</v>
      </c>
      <c r="AL76" s="27">
        <f t="shared" si="28"/>
        <v>0.06870377339021982</v>
      </c>
      <c r="AM76" s="27">
        <f t="shared" si="28"/>
        <v>0.12083470981166168</v>
      </c>
      <c r="AN76" s="27">
        <f t="shared" si="28"/>
        <v>0.12278805793106315</v>
      </c>
      <c r="AO76" s="27">
        <f>AO74/AO75</f>
        <v>0.08994457619344219</v>
      </c>
      <c r="AP76" s="27">
        <f t="shared" si="28"/>
        <v>0.07367599944576655</v>
      </c>
      <c r="AQ76" s="27">
        <f t="shared" si="28"/>
        <v>0.08910905110311998</v>
      </c>
      <c r="AR76" s="27">
        <f>AR74/AR75</f>
        <v>0.1065943909140597</v>
      </c>
      <c r="AS76" s="27">
        <f t="shared" si="28"/>
        <v>0.08090844750993993</v>
      </c>
      <c r="AT76" s="27">
        <f>AT74/AT75</f>
        <v>0.09250533883488649</v>
      </c>
      <c r="AU76" s="27">
        <f t="shared" si="28"/>
        <v>0.0654400039282021</v>
      </c>
      <c r="AV76" s="27">
        <f>AV74/AV75</f>
        <v>0.07476347132794546</v>
      </c>
      <c r="AW76" s="27">
        <f t="shared" si="28"/>
        <v>0.08333769150517405</v>
      </c>
      <c r="AX76" s="27">
        <f t="shared" si="28"/>
        <v>0.07371689787523397</v>
      </c>
      <c r="AY76"/>
      <c r="AZ76" s="27">
        <f t="shared" si="28"/>
        <v>0.07864238828771401</v>
      </c>
      <c r="BA76" s="27">
        <f>BA74/BA75</f>
        <v>0.10184257262246167</v>
      </c>
      <c r="BB76" s="27">
        <f t="shared" si="28"/>
        <v>0.09318559970637384</v>
      </c>
      <c r="BC76" s="27">
        <f t="shared" si="28"/>
        <v>0.07309106631981832</v>
      </c>
      <c r="BD76" s="27">
        <f t="shared" si="28"/>
        <v>0.0598596554548852</v>
      </c>
      <c r="BE76" s="27">
        <f t="shared" si="28"/>
        <v>0.05237040526443135</v>
      </c>
      <c r="BF76" s="27">
        <f t="shared" si="28"/>
        <v>0.07602358620523955</v>
      </c>
      <c r="BG76" s="27">
        <f>BG74/BG75</f>
        <v>0.04501554461255591</v>
      </c>
      <c r="BH76" s="27">
        <f>BH74/BH75</f>
        <v>0.10566758748813963</v>
      </c>
      <c r="BI76" s="27">
        <f t="shared" si="28"/>
        <v>0.06382354374386905</v>
      </c>
      <c r="BJ76" s="27">
        <f t="shared" si="28"/>
        <v>0.05478528775697793</v>
      </c>
      <c r="BK76"/>
      <c r="BL76" s="27">
        <f t="shared" si="28"/>
        <v>0.06730932909924031</v>
      </c>
      <c r="BM76" s="27">
        <f t="shared" si="28"/>
        <v>0.09196013649371344</v>
      </c>
      <c r="BN76"/>
      <c r="BO76"/>
      <c r="BP76" s="27"/>
      <c r="BQ76" s="27"/>
      <c r="BR76" s="27"/>
      <c r="BS76" s="27">
        <f aca="true" t="shared" si="29" ref="BS76:BX76">BS74/BS75</f>
        <v>0.08742262735521492</v>
      </c>
      <c r="BT76" s="27">
        <f t="shared" si="29"/>
        <v>0.07663259015661202</v>
      </c>
      <c r="BU76" s="27">
        <f t="shared" si="29"/>
        <v>0.08622003891197698</v>
      </c>
      <c r="BV76" s="27">
        <f t="shared" si="29"/>
        <v>0.09093225604872582</v>
      </c>
      <c r="BW76" s="27">
        <f t="shared" si="29"/>
        <v>0.08699654568080027</v>
      </c>
      <c r="BX76" s="27">
        <f t="shared" si="29"/>
        <v>0.10855917653832142</v>
      </c>
      <c r="BY76" s="27"/>
      <c r="BZ76" s="27">
        <f>BZ74/BZ75</f>
        <v>0.08742262735521494</v>
      </c>
      <c r="CA76" s="23"/>
      <c r="CB76" s="23"/>
    </row>
    <row r="77" spans="1:80" ht="12.75">
      <c r="A77" s="170" t="s">
        <v>209</v>
      </c>
      <c r="B77" s="14">
        <f aca="true" t="shared" si="30" ref="B77:H77">(SUM(1+B76)/SUM(1+B71))-1</f>
        <v>0.0764038812268768</v>
      </c>
      <c r="C77" s="14">
        <f t="shared" si="30"/>
        <v>0.08433835210010732</v>
      </c>
      <c r="D77" s="14">
        <f t="shared" si="30"/>
        <v>0.05826195812196078</v>
      </c>
      <c r="E77" s="14">
        <f t="shared" si="30"/>
        <v>0.07913510486239028</v>
      </c>
      <c r="F77" s="14">
        <f t="shared" si="30"/>
        <v>0.07211636922651565</v>
      </c>
      <c r="G77" s="14">
        <f t="shared" si="30"/>
        <v>0.10107510603649228</v>
      </c>
      <c r="H77" s="14">
        <f t="shared" si="30"/>
        <v>0.06358953446311078</v>
      </c>
      <c r="I77"/>
      <c r="J77" s="14">
        <f aca="true" t="shared" si="31" ref="J77:W77">(SUM(1+J76)/SUM(1+J71))-1</f>
        <v>0.07242443896370099</v>
      </c>
      <c r="K77" s="14">
        <f t="shared" si="31"/>
        <v>0.051079009623668625</v>
      </c>
      <c r="L77" s="14">
        <f t="shared" si="31"/>
        <v>0.016832780238535516</v>
      </c>
      <c r="M77" s="14">
        <f t="shared" si="31"/>
        <v>0.08681867172794644</v>
      </c>
      <c r="N77" s="14">
        <f t="shared" si="31"/>
        <v>0.07759139656638658</v>
      </c>
      <c r="O77" s="14">
        <f t="shared" si="31"/>
        <v>0.07987770379566883</v>
      </c>
      <c r="P77" s="14">
        <f t="shared" si="31"/>
        <v>0.08997431784955001</v>
      </c>
      <c r="Q77" s="14">
        <f t="shared" si="31"/>
        <v>0.07106149399316619</v>
      </c>
      <c r="R77" s="14">
        <f t="shared" si="31"/>
        <v>0.10977087790478679</v>
      </c>
      <c r="S77" s="14">
        <f t="shared" si="31"/>
        <v>0.06649677423950173</v>
      </c>
      <c r="T77" s="14">
        <f t="shared" si="31"/>
        <v>0.0993049142015956</v>
      </c>
      <c r="U77" s="14">
        <f t="shared" si="31"/>
        <v>0.09996506896973423</v>
      </c>
      <c r="V77" s="14">
        <f t="shared" si="31"/>
        <v>0.0673601139736586</v>
      </c>
      <c r="W77" s="14">
        <f t="shared" si="31"/>
        <v>0.0651343863132543</v>
      </c>
      <c r="X77"/>
      <c r="Y77"/>
      <c r="Z77" s="14">
        <f>(SUM(1+Z76)/SUM(1+Z71))-1</f>
        <v>0.06933030400885754</v>
      </c>
      <c r="AA77"/>
      <c r="AB77" s="14">
        <f>(SUM(1+AB76)/SUM(1+AB71))-1</f>
        <v>0.049204291223801544</v>
      </c>
      <c r="AC77" s="14">
        <f>(SUM(1+AC76)/SUM(1+AC71))-1</f>
        <v>0.06630352460678868</v>
      </c>
      <c r="AD77" s="14">
        <f>(SUM(1+AD76)/SUM(1+AD71))-1</f>
        <v>0.06253440291557077</v>
      </c>
      <c r="AE77" s="14">
        <f>(SUM(1+AE76)/SUM(1+AE71))-1</f>
        <v>0.11055502601927825</v>
      </c>
      <c r="AF77"/>
      <c r="AG77" s="14">
        <f>(SUM(1+AG76)/SUM(1+AG71))-1</f>
        <v>0.10460740641694466</v>
      </c>
      <c r="AH77" s="14">
        <f>(SUM(1+AH76)/SUM(1+AH71))-1</f>
        <v>0.023679107294379387</v>
      </c>
      <c r="AI77"/>
      <c r="AJ77" s="14">
        <f aca="true" t="shared" si="32" ref="AJ77:AX77">(SUM(1+AJ76)/SUM(1+AJ71))-1</f>
        <v>0.07054823637366425</v>
      </c>
      <c r="AK77" s="14">
        <f t="shared" si="32"/>
        <v>0.06813563267671685</v>
      </c>
      <c r="AL77" s="14">
        <f t="shared" si="32"/>
        <v>0.05530144503823431</v>
      </c>
      <c r="AM77" s="14">
        <f t="shared" si="32"/>
        <v>0.10677862132088656</v>
      </c>
      <c r="AN77" s="14">
        <f t="shared" si="32"/>
        <v>0.10870747302366279</v>
      </c>
      <c r="AO77" s="14">
        <f t="shared" si="32"/>
        <v>0.07627587261127888</v>
      </c>
      <c r="AP77" s="14">
        <f t="shared" si="32"/>
        <v>0.06021131573592031</v>
      </c>
      <c r="AQ77" s="14">
        <f t="shared" si="32"/>
        <v>0.07545082561777439</v>
      </c>
      <c r="AR77" s="14">
        <f t="shared" si="32"/>
        <v>0.09271688645606768</v>
      </c>
      <c r="AS77" s="14">
        <f t="shared" si="32"/>
        <v>0.06735306360219218</v>
      </c>
      <c r="AT77" s="14">
        <f t="shared" si="32"/>
        <v>0.07880452141294203</v>
      </c>
      <c r="AU77" s="14">
        <f t="shared" si="32"/>
        <v>0.05207860563661715</v>
      </c>
      <c r="AV77" s="14">
        <f t="shared" si="32"/>
        <v>0.061285149923911764</v>
      </c>
      <c r="AW77" s="14">
        <f t="shared" si="32"/>
        <v>0.06975184309783167</v>
      </c>
      <c r="AX77" s="14">
        <f t="shared" si="32"/>
        <v>0.06025170126911639</v>
      </c>
      <c r="AY77"/>
      <c r="AZ77" s="14">
        <f aca="true" t="shared" si="33" ref="AZ77:BJ77">(SUM(1+AZ76)/SUM(1+AZ71))-1</f>
        <v>0.06511542242294288</v>
      </c>
      <c r="BA77" s="14">
        <f t="shared" si="33"/>
        <v>0.08802465944747873</v>
      </c>
      <c r="BB77" s="14">
        <f t="shared" si="33"/>
        <v>0.07947625131467739</v>
      </c>
      <c r="BC77" s="14">
        <f t="shared" si="33"/>
        <v>0.05963371809994911</v>
      </c>
      <c r="BD77" s="14">
        <f t="shared" si="33"/>
        <v>0.046568238821847796</v>
      </c>
      <c r="BE77" s="14">
        <f t="shared" si="33"/>
        <v>0.03917290931611683</v>
      </c>
      <c r="BF77" s="14">
        <f t="shared" si="33"/>
        <v>0.06252946203736509</v>
      </c>
      <c r="BG77" s="14">
        <f t="shared" si="33"/>
        <v>0.03191028400568374</v>
      </c>
      <c r="BH77" s="14">
        <f t="shared" si="33"/>
        <v>0.09180170582417269</v>
      </c>
      <c r="BI77" s="14">
        <f t="shared" si="33"/>
        <v>0.050482417047367445</v>
      </c>
      <c r="BJ77" s="14">
        <f t="shared" si="33"/>
        <v>0.041557507412834926</v>
      </c>
      <c r="BK77"/>
      <c r="BL77" s="14">
        <f>(SUM(1+BL76)/SUM(1+BL71))-1</f>
        <v>0.053924488100365764</v>
      </c>
      <c r="BM77" s="14">
        <f>(SUM(1+BM76)/SUM(1+BM71))-1</f>
        <v>0.07826615630859446</v>
      </c>
      <c r="BN77"/>
      <c r="BO77"/>
      <c r="BP77" s="14"/>
      <c r="BQ77" s="14"/>
      <c r="BR77" s="14"/>
      <c r="BS77" s="175">
        <f aca="true" t="shared" si="34" ref="BS77:BX77">(SUM(1+BS76)/SUM(1+BS71))-1</f>
        <v>0.07378555085930194</v>
      </c>
      <c r="BT77" s="175">
        <f t="shared" si="34"/>
        <v>0.06313082863297326</v>
      </c>
      <c r="BU77" s="175">
        <f t="shared" si="34"/>
        <v>0.07259804375627232</v>
      </c>
      <c r="BV77" s="175">
        <f t="shared" si="34"/>
        <v>0.0772511662375095</v>
      </c>
      <c r="BW77" s="175">
        <f t="shared" si="34"/>
        <v>0.07336481256127203</v>
      </c>
      <c r="BX77" s="175">
        <f t="shared" si="34"/>
        <v>0.094657032229013</v>
      </c>
      <c r="BY77" s="175"/>
      <c r="BZ77" s="175">
        <f>(SUM(1+BZ76)/SUM(1+BZ71))-1</f>
        <v>0.07378555085930194</v>
      </c>
      <c r="CA77" s="23"/>
      <c r="CB77" s="23"/>
    </row>
    <row r="78" spans="1:80" ht="12.75">
      <c r="A78" s="76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23"/>
      <c r="CB78" s="23"/>
    </row>
    <row r="79" spans="1:80" ht="12.75">
      <c r="A79" s="76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23"/>
      <c r="CB79" s="23"/>
    </row>
    <row r="80" spans="1:80" ht="12.75">
      <c r="A80" s="76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/>
      <c r="BU80"/>
      <c r="BV80"/>
      <c r="BW80"/>
      <c r="BX80"/>
      <c r="BY80" s="14"/>
      <c r="BZ80" s="14"/>
      <c r="CA80" s="23"/>
      <c r="CB80" s="23"/>
    </row>
    <row r="81" spans="1:80" ht="12.75">
      <c r="A81" s="76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/>
      <c r="BU81"/>
      <c r="BV81"/>
      <c r="BW81"/>
      <c r="BX81"/>
      <c r="BY81" s="14"/>
      <c r="BZ81" s="14"/>
      <c r="CA81" s="23"/>
      <c r="CB81" s="23"/>
    </row>
    <row r="82" ht="12"/>
    <row r="83" spans="1:80" ht="12.75">
      <c r="A83" s="76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/>
      <c r="BU83"/>
      <c r="BV83"/>
      <c r="BW83"/>
      <c r="BX83"/>
      <c r="BY83" s="14"/>
      <c r="BZ83" s="14"/>
      <c r="CA83" s="23"/>
      <c r="CB83" s="23"/>
    </row>
    <row r="84" spans="1:80" ht="12.75">
      <c r="A84" s="76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/>
      <c r="BU84"/>
      <c r="BV84"/>
      <c r="BW84"/>
      <c r="BX84"/>
      <c r="BY84" s="14"/>
      <c r="BZ84" s="14"/>
      <c r="CA84" s="23"/>
      <c r="CB84" s="23"/>
    </row>
    <row r="85" spans="1:80" ht="12.75">
      <c r="A85" s="76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/>
      <c r="BU85"/>
      <c r="BV85"/>
      <c r="BW85"/>
      <c r="BX85"/>
      <c r="BY85" s="14"/>
      <c r="BZ85" s="14"/>
      <c r="CA85" s="23"/>
      <c r="CB85" s="23"/>
    </row>
    <row r="86" spans="1:80" ht="12.75">
      <c r="A86" s="76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/>
      <c r="BU86"/>
      <c r="BV86"/>
      <c r="BW86"/>
      <c r="BX86"/>
      <c r="BY86" s="14"/>
      <c r="BZ86" s="14"/>
      <c r="CA86" s="23"/>
      <c r="CB86" s="23"/>
    </row>
    <row r="87" spans="1:80" ht="12.75">
      <c r="A87" s="76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23"/>
      <c r="CB87" s="23"/>
    </row>
    <row r="88" spans="1:80" ht="12.75">
      <c r="A88" s="76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23"/>
      <c r="CB88" s="23"/>
    </row>
    <row r="89" spans="1:80" ht="12.75">
      <c r="A89" s="7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23"/>
      <c r="CB89" s="23"/>
    </row>
    <row r="90" spans="1:80" ht="12.75">
      <c r="A90" s="76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 s="7"/>
      <c r="CB90" s="7"/>
    </row>
    <row r="91" spans="1:80" ht="12.75">
      <c r="A91" s="82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86"/>
      <c r="BT91" s="86"/>
      <c r="BU91" s="86"/>
      <c r="BV91" s="86"/>
      <c r="BW91" s="86"/>
      <c r="BX91" s="86"/>
      <c r="BY91" s="86"/>
      <c r="BZ91" s="86"/>
      <c r="CA91" s="23"/>
      <c r="CB91" s="23"/>
    </row>
    <row r="92" spans="1:80" ht="12.75">
      <c r="A92" s="82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86"/>
      <c r="BT92" s="86"/>
      <c r="BU92" s="86"/>
      <c r="BV92" s="86"/>
      <c r="BW92" s="86"/>
      <c r="BX92" s="86"/>
      <c r="BY92" s="86"/>
      <c r="BZ92" s="86"/>
      <c r="CA92" s="23"/>
      <c r="CB92" s="23"/>
    </row>
    <row r="93" spans="1:80" ht="12.75">
      <c r="A93" s="82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86"/>
      <c r="BT93" s="86"/>
      <c r="BU93" s="86"/>
      <c r="BV93" s="86"/>
      <c r="BW93" s="86"/>
      <c r="BX93" s="86"/>
      <c r="BY93" s="86"/>
      <c r="BZ93" s="86"/>
      <c r="CA93" s="7"/>
      <c r="CB93" s="7"/>
    </row>
    <row r="94" spans="1:80" ht="9.75" customHeight="1">
      <c r="A94" s="76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80"/>
      <c r="BT94" s="80"/>
      <c r="BU94" s="80"/>
      <c r="BV94" s="80"/>
      <c r="BW94" s="80"/>
      <c r="BX94" s="80"/>
      <c r="BY94" s="80"/>
      <c r="BZ94" s="80"/>
      <c r="CA94" s="23"/>
      <c r="CB94" s="23"/>
    </row>
    <row r="95" spans="1:80" ht="12.75">
      <c r="A95" s="77"/>
      <c r="CA95" s="7"/>
      <c r="CB95" s="7"/>
    </row>
    <row r="96" spans="1:80" ht="12.75">
      <c r="A96" s="78"/>
      <c r="CA96" s="23"/>
      <c r="CB96" s="23"/>
    </row>
    <row r="97" spans="1:80" ht="7.5" customHeight="1">
      <c r="A97" s="78"/>
      <c r="CA97" s="7"/>
      <c r="CB97" s="7"/>
    </row>
    <row r="98" spans="1:80" ht="12.75">
      <c r="A98" s="77"/>
      <c r="CA98" s="23"/>
      <c r="CB98" s="23"/>
    </row>
    <row r="99" spans="1:80" ht="12.75">
      <c r="A99" s="79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23"/>
      <c r="CB99" s="23"/>
    </row>
    <row r="100" spans="1:80" ht="12.75">
      <c r="A100" s="79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6"/>
      <c r="BW100" s="96"/>
      <c r="BX100" s="96"/>
      <c r="BY100" s="96"/>
      <c r="BZ100" s="96"/>
      <c r="CA100" s="23"/>
      <c r="CB100" s="23"/>
    </row>
    <row r="101" spans="1:80" ht="12.75">
      <c r="A101" s="79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11"/>
      <c r="CB101" s="11"/>
    </row>
    <row r="102" spans="1:80" ht="12.75">
      <c r="A102" s="79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6"/>
      <c r="AV102" s="96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6"/>
      <c r="BW102" s="96"/>
      <c r="BX102" s="96"/>
      <c r="BY102" s="96"/>
      <c r="BZ102" s="96"/>
      <c r="CA102" s="7"/>
      <c r="CB102" s="7"/>
    </row>
    <row r="103" spans="1:80" ht="12.75">
      <c r="A103" s="79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6"/>
      <c r="AV103" s="96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6"/>
      <c r="BW103" s="96"/>
      <c r="BX103" s="96"/>
      <c r="BY103" s="96"/>
      <c r="BZ103" s="96"/>
      <c r="CA103" s="23"/>
      <c r="CB103" s="23"/>
    </row>
    <row r="104" spans="1:80" ht="12.75">
      <c r="A104" s="79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6"/>
      <c r="BW104" s="96"/>
      <c r="BX104" s="96"/>
      <c r="BY104" s="96"/>
      <c r="BZ104" s="96"/>
      <c r="CA104" s="7"/>
      <c r="CB104" s="7"/>
    </row>
    <row r="105" spans="1:80" ht="12.75">
      <c r="A105" s="79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6"/>
      <c r="AV105" s="96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6"/>
      <c r="BW105" s="96"/>
      <c r="BX105" s="96"/>
      <c r="BY105" s="96"/>
      <c r="BZ105" s="96"/>
      <c r="CA105" s="23"/>
      <c r="CB105" s="23"/>
    </row>
    <row r="106" spans="1:80" ht="12.75">
      <c r="A106" s="79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6"/>
      <c r="BW106" s="96"/>
      <c r="BX106" s="96"/>
      <c r="BY106" s="96"/>
      <c r="BZ106" s="96"/>
      <c r="CA106" s="23"/>
      <c r="CB106" s="23"/>
    </row>
    <row r="107" spans="1:80" ht="12.75">
      <c r="A107" s="79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6"/>
      <c r="BW107" s="96"/>
      <c r="BX107" s="96"/>
      <c r="BY107" s="96"/>
      <c r="BZ107" s="96"/>
      <c r="CA107" s="7"/>
      <c r="CB107" s="7"/>
    </row>
    <row r="108" spans="1:80" ht="12.75">
      <c r="A108" s="79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6"/>
      <c r="BW108" s="96"/>
      <c r="BX108" s="96"/>
      <c r="BY108" s="96"/>
      <c r="BZ108" s="96"/>
      <c r="CA108" s="23"/>
      <c r="CB108" s="23"/>
    </row>
    <row r="109" spans="1:78" ht="12.75">
      <c r="A109" s="79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6"/>
      <c r="AV109" s="96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6"/>
      <c r="BW109" s="96"/>
      <c r="BX109" s="96"/>
      <c r="BY109" s="96"/>
      <c r="BZ109" s="96"/>
    </row>
    <row r="110" spans="1:78" ht="12.75">
      <c r="A110" s="79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6"/>
      <c r="AV110" s="96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</row>
    <row r="111" spans="1:78" ht="12.75">
      <c r="A111" s="79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6"/>
      <c r="AV111" s="96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6"/>
      <c r="BW111" s="96"/>
      <c r="BX111" s="96"/>
      <c r="BY111" s="96"/>
      <c r="BZ111" s="96"/>
    </row>
    <row r="112" spans="1:78" ht="12.75">
      <c r="A112" s="79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  <c r="AQ112" s="96"/>
      <c r="AR112" s="96"/>
      <c r="AS112" s="96"/>
      <c r="AT112" s="96"/>
      <c r="AU112" s="96"/>
      <c r="AV112" s="96"/>
      <c r="AW112" s="96"/>
      <c r="AX112" s="96"/>
      <c r="AY112" s="96"/>
      <c r="AZ112" s="96"/>
      <c r="BA112" s="96"/>
      <c r="BB112" s="96"/>
      <c r="BC112" s="96"/>
      <c r="BD112" s="96"/>
      <c r="BE112" s="96"/>
      <c r="BF112" s="96"/>
      <c r="BG112" s="96"/>
      <c r="BH112" s="96"/>
      <c r="BI112" s="96"/>
      <c r="BJ112" s="96"/>
      <c r="BK112" s="96"/>
      <c r="BL112" s="96"/>
      <c r="BM112" s="96"/>
      <c r="BN112" s="96"/>
      <c r="BO112" s="96"/>
      <c r="BP112" s="96"/>
      <c r="BQ112" s="96"/>
      <c r="BR112" s="96"/>
      <c r="BS112" s="96"/>
      <c r="BT112" s="96"/>
      <c r="BU112" s="96"/>
      <c r="BV112" s="96"/>
      <c r="BW112" s="96"/>
      <c r="BX112" s="96"/>
      <c r="BY112" s="96"/>
      <c r="BZ112" s="96"/>
    </row>
    <row r="113" spans="1:78" ht="12.75">
      <c r="A113" s="79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  <c r="AQ113" s="96"/>
      <c r="AR113" s="96"/>
      <c r="AS113" s="96"/>
      <c r="AT113" s="96"/>
      <c r="AU113" s="96"/>
      <c r="AV113" s="96"/>
      <c r="AW113" s="96"/>
      <c r="AX113" s="96"/>
      <c r="AY113" s="96"/>
      <c r="AZ113" s="96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6"/>
      <c r="BL113" s="96"/>
      <c r="BM113" s="96"/>
      <c r="BN113" s="96"/>
      <c r="BO113" s="96"/>
      <c r="BP113" s="96"/>
      <c r="BQ113" s="96"/>
      <c r="BR113" s="96"/>
      <c r="BS113" s="96"/>
      <c r="BT113" s="96"/>
      <c r="BU113" s="96"/>
      <c r="BV113" s="96"/>
      <c r="BW113" s="96"/>
      <c r="BX113" s="96"/>
      <c r="BY113" s="96"/>
      <c r="BZ113" s="96"/>
    </row>
    <row r="114" spans="1:78" ht="7.5" customHeight="1">
      <c r="A114" s="80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  <c r="AQ114" s="96"/>
      <c r="AR114" s="96"/>
      <c r="AS114" s="96"/>
      <c r="AT114" s="96"/>
      <c r="AU114" s="96"/>
      <c r="AV114" s="96"/>
      <c r="AW114" s="96"/>
      <c r="AX114" s="96"/>
      <c r="AY114" s="96"/>
      <c r="AZ114" s="96"/>
      <c r="BA114" s="96"/>
      <c r="BB114" s="96"/>
      <c r="BC114" s="96"/>
      <c r="BD114" s="96"/>
      <c r="BE114" s="96"/>
      <c r="BF114" s="96"/>
      <c r="BG114" s="96"/>
      <c r="BH114" s="96"/>
      <c r="BI114" s="96"/>
      <c r="BJ114" s="96"/>
      <c r="BK114" s="96"/>
      <c r="BL114" s="96"/>
      <c r="BM114" s="96"/>
      <c r="BN114" s="96"/>
      <c r="BO114" s="96"/>
      <c r="BP114" s="96"/>
      <c r="BQ114" s="96"/>
      <c r="BR114" s="96"/>
      <c r="BS114" s="96"/>
      <c r="BT114" s="96"/>
      <c r="BU114" s="96"/>
      <c r="BV114" s="96"/>
      <c r="BW114" s="96"/>
      <c r="BX114" s="96"/>
      <c r="BY114" s="96"/>
      <c r="BZ114" s="96"/>
    </row>
    <row r="115" spans="1:78" ht="12.75">
      <c r="A115" s="77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  <c r="AQ115" s="96"/>
      <c r="AR115" s="96"/>
      <c r="AS115" s="96"/>
      <c r="AT115" s="96"/>
      <c r="AU115" s="96"/>
      <c r="AV115" s="96"/>
      <c r="AW115" s="96"/>
      <c r="AX115" s="96"/>
      <c r="AY115" s="96"/>
      <c r="AZ115" s="96"/>
      <c r="BA115" s="96"/>
      <c r="BB115" s="96"/>
      <c r="BC115" s="96"/>
      <c r="BD115" s="96"/>
      <c r="BE115" s="96"/>
      <c r="BF115" s="96"/>
      <c r="BG115" s="96"/>
      <c r="BH115" s="96"/>
      <c r="BI115" s="96"/>
      <c r="BJ115" s="96"/>
      <c r="BK115" s="96"/>
      <c r="BL115" s="96"/>
      <c r="BM115" s="96"/>
      <c r="BN115" s="96"/>
      <c r="BO115" s="96"/>
      <c r="BP115" s="96"/>
      <c r="BQ115" s="96"/>
      <c r="BR115" s="96"/>
      <c r="BS115" s="96"/>
      <c r="BT115" s="96"/>
      <c r="BU115" s="96"/>
      <c r="BV115" s="96"/>
      <c r="BW115" s="96"/>
      <c r="BX115" s="96"/>
      <c r="BY115" s="96"/>
      <c r="BZ115" s="96"/>
    </row>
    <row r="116" spans="1:78" ht="7.5" customHeight="1">
      <c r="A116" s="80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  <c r="AQ116" s="96"/>
      <c r="AR116" s="96"/>
      <c r="AS116" s="96"/>
      <c r="AT116" s="96"/>
      <c r="AU116" s="96"/>
      <c r="AV116" s="96"/>
      <c r="AW116" s="96"/>
      <c r="AX116" s="96"/>
      <c r="AY116" s="96"/>
      <c r="AZ116" s="96"/>
      <c r="BA116" s="96"/>
      <c r="BB116" s="96"/>
      <c r="BC116" s="96"/>
      <c r="BD116" s="96"/>
      <c r="BE116" s="96"/>
      <c r="BF116" s="96"/>
      <c r="BG116" s="96"/>
      <c r="BH116" s="96"/>
      <c r="BI116" s="96"/>
      <c r="BJ116" s="96"/>
      <c r="BK116" s="96"/>
      <c r="BL116" s="96"/>
      <c r="BM116" s="96"/>
      <c r="BN116" s="96"/>
      <c r="BO116" s="96"/>
      <c r="BP116" s="96"/>
      <c r="BQ116" s="96"/>
      <c r="BR116" s="96"/>
      <c r="BS116" s="96"/>
      <c r="BT116" s="96"/>
      <c r="BU116" s="96"/>
      <c r="BV116" s="96"/>
      <c r="BW116" s="96"/>
      <c r="BX116" s="96"/>
      <c r="BY116" s="96"/>
      <c r="BZ116" s="96"/>
    </row>
    <row r="117" spans="1:78" ht="12.75">
      <c r="A117" s="77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  <c r="AQ117" s="96"/>
      <c r="AR117" s="96"/>
      <c r="AS117" s="96"/>
      <c r="AT117" s="96"/>
      <c r="AU117" s="96"/>
      <c r="AV117" s="96"/>
      <c r="AW117" s="96"/>
      <c r="AX117" s="96"/>
      <c r="AY117" s="96"/>
      <c r="AZ117" s="96"/>
      <c r="BA117" s="96"/>
      <c r="BB117" s="96"/>
      <c r="BC117" s="96"/>
      <c r="BD117" s="96"/>
      <c r="BE117" s="96"/>
      <c r="BF117" s="96"/>
      <c r="BG117" s="96"/>
      <c r="BH117" s="96"/>
      <c r="BI117" s="96"/>
      <c r="BJ117" s="96"/>
      <c r="BK117" s="96"/>
      <c r="BL117" s="96"/>
      <c r="BM117" s="96"/>
      <c r="BN117" s="96"/>
      <c r="BO117" s="96"/>
      <c r="BP117" s="96"/>
      <c r="BQ117" s="96"/>
      <c r="BR117" s="96"/>
      <c r="BS117" s="96"/>
      <c r="BT117" s="96"/>
      <c r="BU117" s="96"/>
      <c r="BV117" s="96"/>
      <c r="BW117" s="96"/>
      <c r="BX117" s="96"/>
      <c r="BY117" s="96"/>
      <c r="BZ117" s="96"/>
    </row>
    <row r="118" spans="1:78" ht="12.75">
      <c r="A118" s="79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  <c r="AQ118" s="96"/>
      <c r="AR118" s="96"/>
      <c r="AS118" s="96"/>
      <c r="AT118" s="96"/>
      <c r="AU118" s="96"/>
      <c r="AV118" s="96"/>
      <c r="AW118" s="96"/>
      <c r="AX118" s="96"/>
      <c r="AY118" s="96"/>
      <c r="AZ118" s="96"/>
      <c r="BA118" s="96"/>
      <c r="BB118" s="96"/>
      <c r="BC118" s="96"/>
      <c r="BD118" s="96"/>
      <c r="BE118" s="96"/>
      <c r="BF118" s="96"/>
      <c r="BG118" s="96"/>
      <c r="BH118" s="96"/>
      <c r="BI118" s="96"/>
      <c r="BJ118" s="96"/>
      <c r="BK118" s="96"/>
      <c r="BL118" s="96"/>
      <c r="BM118" s="96"/>
      <c r="BN118" s="96"/>
      <c r="BO118" s="96"/>
      <c r="BP118" s="96"/>
      <c r="BQ118" s="96"/>
      <c r="BR118" s="96"/>
      <c r="BS118" s="96"/>
      <c r="BT118" s="96"/>
      <c r="BU118" s="96"/>
      <c r="BV118" s="96"/>
      <c r="BW118" s="96"/>
      <c r="BX118" s="96"/>
      <c r="BY118" s="96"/>
      <c r="BZ118" s="96"/>
    </row>
    <row r="119" spans="1:78" ht="12.75">
      <c r="A119" s="79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  <c r="AQ119" s="96"/>
      <c r="AR119" s="96"/>
      <c r="AS119" s="96"/>
      <c r="AT119" s="96"/>
      <c r="AU119" s="96"/>
      <c r="AV119" s="96"/>
      <c r="AW119" s="96"/>
      <c r="AX119" s="96"/>
      <c r="AY119" s="96"/>
      <c r="AZ119" s="96"/>
      <c r="BA119" s="96"/>
      <c r="BB119" s="96"/>
      <c r="BC119" s="96"/>
      <c r="BD119" s="96"/>
      <c r="BE119" s="96"/>
      <c r="BF119" s="96"/>
      <c r="BG119" s="96"/>
      <c r="BH119" s="96"/>
      <c r="BI119" s="96"/>
      <c r="BJ119" s="96"/>
      <c r="BK119" s="96"/>
      <c r="BL119" s="96"/>
      <c r="BM119" s="96"/>
      <c r="BN119" s="96"/>
      <c r="BO119" s="96"/>
      <c r="BP119" s="96"/>
      <c r="BQ119" s="96"/>
      <c r="BR119" s="96"/>
      <c r="BS119" s="96"/>
      <c r="BT119" s="96"/>
      <c r="BU119" s="96"/>
      <c r="BV119" s="96"/>
      <c r="BW119" s="96"/>
      <c r="BX119" s="96"/>
      <c r="BY119" s="96"/>
      <c r="BZ119" s="96"/>
    </row>
    <row r="120" spans="1:78" ht="12.75">
      <c r="A120" s="79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</row>
    <row r="121" spans="1:78" ht="12.75">
      <c r="A121" s="79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</row>
    <row r="122" spans="1:78" ht="12.75">
      <c r="A122" s="79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</row>
    <row r="123" spans="1:78" ht="12.75">
      <c r="A123" s="79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</row>
    <row r="124" spans="1:78" ht="12.75">
      <c r="A124" s="79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</row>
    <row r="125" spans="1:80" ht="12.75">
      <c r="A125" s="79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25"/>
      <c r="CB125" s="25"/>
    </row>
    <row r="126" spans="1:80" ht="12.75">
      <c r="A126" s="79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25"/>
      <c r="CB126" s="25"/>
    </row>
    <row r="127" spans="1:80" ht="12.75">
      <c r="A127" s="77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25"/>
      <c r="CB127" s="25"/>
    </row>
    <row r="128" spans="1:80" ht="7.5" customHeight="1">
      <c r="A128" s="80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25"/>
      <c r="CB128" s="25"/>
    </row>
    <row r="129" spans="1:80" ht="12.75">
      <c r="A129" s="78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25"/>
      <c r="CB129" s="25"/>
    </row>
    <row r="130" spans="1:80" ht="12.75">
      <c r="A130" s="77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25"/>
      <c r="CB130" s="25"/>
    </row>
    <row r="131" spans="1:80" ht="7.5" customHeight="1">
      <c r="A131" s="80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25"/>
      <c r="CB131" s="25"/>
    </row>
    <row r="132" spans="1:80" ht="12.75">
      <c r="A132" s="78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25"/>
      <c r="CB132" s="25"/>
    </row>
    <row r="133" spans="1:80" ht="12.75">
      <c r="A133" s="77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96"/>
      <c r="AH133" s="96"/>
      <c r="AI133" s="96"/>
      <c r="AJ133" s="96"/>
      <c r="AK133" s="96"/>
      <c r="AL133" s="96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96"/>
      <c r="BL133" s="96"/>
      <c r="BM133" s="96"/>
      <c r="BN133" s="96"/>
      <c r="BO133" s="96"/>
      <c r="BP133" s="96"/>
      <c r="BQ133" s="96"/>
      <c r="BR133" s="96"/>
      <c r="BS133" s="96"/>
      <c r="BT133" s="96"/>
      <c r="BU133" s="96"/>
      <c r="BV133" s="96"/>
      <c r="BW133" s="96"/>
      <c r="BX133" s="96"/>
      <c r="BY133" s="96"/>
      <c r="BZ133" s="96"/>
      <c r="CA133" s="25"/>
      <c r="CB133" s="25"/>
    </row>
    <row r="134" spans="1:80" ht="7.5" customHeight="1">
      <c r="A134" s="80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6"/>
      <c r="BW134" s="96"/>
      <c r="BX134" s="96"/>
      <c r="BY134" s="96"/>
      <c r="BZ134" s="96"/>
      <c r="CA134" s="25"/>
      <c r="CB134" s="25"/>
    </row>
    <row r="135" spans="1:80" ht="12.75">
      <c r="A135" s="7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6"/>
      <c r="BW135" s="96"/>
      <c r="BX135" s="96"/>
      <c r="BY135" s="96"/>
      <c r="BZ135" s="96"/>
      <c r="CA135" s="25"/>
      <c r="CB135" s="25"/>
    </row>
    <row r="136" spans="1:80" ht="12.75">
      <c r="A136" s="77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6"/>
      <c r="AV136" s="96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6"/>
      <c r="BW136" s="96"/>
      <c r="BX136" s="96"/>
      <c r="BY136" s="96"/>
      <c r="BZ136" s="96"/>
      <c r="CA136" s="25"/>
      <c r="CB136" s="25"/>
    </row>
    <row r="137" spans="1:80" ht="7.5" customHeight="1">
      <c r="A137" s="77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25"/>
      <c r="CB137" s="25"/>
    </row>
    <row r="138" spans="1:80" ht="7.5" customHeight="1">
      <c r="A138" s="77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6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6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96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25"/>
      <c r="CB138" s="25"/>
    </row>
    <row r="139" spans="1:80" ht="12.75">
      <c r="A139" s="81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  <c r="AC139" s="96"/>
      <c r="AD139" s="96"/>
      <c r="AE139" s="96"/>
      <c r="AF139" s="96"/>
      <c r="AG139" s="96"/>
      <c r="AH139" s="96"/>
      <c r="AI139" s="96"/>
      <c r="AJ139" s="96"/>
      <c r="AK139" s="96"/>
      <c r="AL139" s="96"/>
      <c r="AM139" s="96"/>
      <c r="AN139" s="96"/>
      <c r="AO139" s="96"/>
      <c r="AP139" s="96"/>
      <c r="AQ139" s="96"/>
      <c r="AR139" s="96"/>
      <c r="AS139" s="96"/>
      <c r="AT139" s="96"/>
      <c r="AU139" s="96"/>
      <c r="AV139" s="96"/>
      <c r="AW139" s="96"/>
      <c r="AX139" s="96"/>
      <c r="AY139" s="96"/>
      <c r="AZ139" s="96"/>
      <c r="BA139" s="96"/>
      <c r="BB139" s="96"/>
      <c r="BC139" s="96"/>
      <c r="BD139" s="96"/>
      <c r="BE139" s="96"/>
      <c r="BF139" s="96"/>
      <c r="BG139" s="96"/>
      <c r="BH139" s="96"/>
      <c r="BI139" s="96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25"/>
      <c r="CB139" s="25"/>
    </row>
    <row r="140" spans="1:80" ht="12.75">
      <c r="A140" s="82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6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6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25"/>
      <c r="CB140" s="25"/>
    </row>
    <row r="141" spans="1:85" s="28" customFormat="1" ht="7.5" customHeight="1">
      <c r="A141" s="77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6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6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96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25"/>
      <c r="CB141" s="25"/>
      <c r="CC141" s="25"/>
      <c r="CD141" s="25"/>
      <c r="CE141" s="25"/>
      <c r="CF141" s="25"/>
      <c r="CG141" s="25"/>
    </row>
    <row r="142" spans="1:80" ht="12.75">
      <c r="A142" s="81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96"/>
      <c r="AE142" s="96"/>
      <c r="AF142" s="96"/>
      <c r="AG142" s="96"/>
      <c r="AH142" s="96"/>
      <c r="AI142" s="96"/>
      <c r="AJ142" s="96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6"/>
      <c r="AY142" s="96"/>
      <c r="AZ142" s="96"/>
      <c r="BA142" s="96"/>
      <c r="BB142" s="96"/>
      <c r="BC142" s="96"/>
      <c r="BD142" s="96"/>
      <c r="BE142" s="96"/>
      <c r="BF142" s="96"/>
      <c r="BG142" s="96"/>
      <c r="BH142" s="96"/>
      <c r="BI142" s="96"/>
      <c r="BJ142" s="96"/>
      <c r="BK142" s="96"/>
      <c r="BL142" s="96"/>
      <c r="BM142" s="96"/>
      <c r="BN142" s="96"/>
      <c r="BO142" s="96"/>
      <c r="BP142" s="96"/>
      <c r="BQ142" s="96"/>
      <c r="BR142" s="96"/>
      <c r="BS142" s="96"/>
      <c r="BT142" s="96"/>
      <c r="BU142" s="96"/>
      <c r="BV142" s="96"/>
      <c r="BW142" s="96"/>
      <c r="BX142" s="96"/>
      <c r="BY142" s="96"/>
      <c r="BZ142" s="96"/>
      <c r="CA142" s="25"/>
      <c r="CB142" s="25"/>
    </row>
    <row r="143" spans="1:85" s="28" customFormat="1" ht="7.5" customHeight="1">
      <c r="A143" s="81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96"/>
      <c r="BJ143" s="96"/>
      <c r="BK143" s="96"/>
      <c r="BL143" s="96"/>
      <c r="BM143" s="96"/>
      <c r="BN143" s="96"/>
      <c r="BO143" s="96"/>
      <c r="BP143" s="96"/>
      <c r="BQ143" s="96"/>
      <c r="BR143" s="96"/>
      <c r="BS143" s="96"/>
      <c r="BT143" s="96"/>
      <c r="BU143" s="96"/>
      <c r="BV143" s="96"/>
      <c r="BW143" s="96"/>
      <c r="BX143" s="96"/>
      <c r="BY143" s="96"/>
      <c r="BZ143" s="96"/>
      <c r="CA143" s="25"/>
      <c r="CB143" s="25"/>
      <c r="CC143" s="25"/>
      <c r="CD143" s="25"/>
      <c r="CE143" s="25"/>
      <c r="CF143" s="25"/>
      <c r="CG143" s="25"/>
    </row>
    <row r="144" spans="1:85" s="28" customFormat="1" ht="12.75">
      <c r="A144" s="81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96"/>
      <c r="BJ144" s="96"/>
      <c r="BK144" s="96"/>
      <c r="BL144" s="96"/>
      <c r="BM144" s="96"/>
      <c r="BN144" s="96"/>
      <c r="BO144" s="96"/>
      <c r="BP144" s="96"/>
      <c r="BQ144" s="96"/>
      <c r="BR144" s="96"/>
      <c r="BS144" s="96"/>
      <c r="BT144" s="96"/>
      <c r="BU144" s="96"/>
      <c r="BV144" s="96"/>
      <c r="BW144" s="96"/>
      <c r="BX144" s="96"/>
      <c r="BY144" s="96"/>
      <c r="BZ144" s="96"/>
      <c r="CA144" s="25"/>
      <c r="CB144" s="25"/>
      <c r="CC144" s="25"/>
      <c r="CD144" s="25"/>
      <c r="CE144" s="25"/>
      <c r="CF144" s="25"/>
      <c r="CG144" s="25"/>
    </row>
    <row r="145" spans="1:85" s="28" customFormat="1" ht="7.5" customHeight="1">
      <c r="A145" s="81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  <c r="AC145" s="96"/>
      <c r="AD145" s="96"/>
      <c r="AE145" s="96"/>
      <c r="AF145" s="96"/>
      <c r="AG145" s="96"/>
      <c r="AH145" s="96"/>
      <c r="AI145" s="96"/>
      <c r="AJ145" s="96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  <c r="BJ145" s="96"/>
      <c r="BK145" s="96"/>
      <c r="BL145" s="96"/>
      <c r="BM145" s="96"/>
      <c r="BN145" s="96"/>
      <c r="BO145" s="96"/>
      <c r="BP145" s="96"/>
      <c r="BQ145" s="96"/>
      <c r="BR145" s="96"/>
      <c r="BS145" s="96"/>
      <c r="BT145" s="96"/>
      <c r="BU145" s="96"/>
      <c r="BV145" s="96"/>
      <c r="BW145" s="96"/>
      <c r="BX145" s="96"/>
      <c r="BY145" s="96"/>
      <c r="BZ145" s="96"/>
      <c r="CA145" s="25"/>
      <c r="CB145" s="25"/>
      <c r="CC145" s="25"/>
      <c r="CD145" s="25"/>
      <c r="CE145" s="25"/>
      <c r="CF145" s="25"/>
      <c r="CG145" s="25"/>
    </row>
    <row r="146" spans="1:85" s="28" customFormat="1" ht="12.75">
      <c r="A146" s="81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  <c r="BJ146" s="96"/>
      <c r="BK146" s="96"/>
      <c r="BL146" s="96"/>
      <c r="BM146" s="96"/>
      <c r="BN146" s="96"/>
      <c r="BO146" s="96"/>
      <c r="BP146" s="96"/>
      <c r="BQ146" s="96"/>
      <c r="BR146" s="96"/>
      <c r="BS146" s="96"/>
      <c r="BT146" s="96"/>
      <c r="BU146" s="96"/>
      <c r="BV146" s="96"/>
      <c r="BW146" s="96"/>
      <c r="BX146" s="96"/>
      <c r="BY146" s="96"/>
      <c r="BZ146" s="96"/>
      <c r="CA146" s="25"/>
      <c r="CB146" s="25"/>
      <c r="CC146" s="25"/>
      <c r="CD146" s="25"/>
      <c r="CE146" s="25"/>
      <c r="CF146" s="25"/>
      <c r="CG146" s="25"/>
    </row>
    <row r="147" spans="1:85" s="28" customFormat="1" ht="7.5" customHeight="1">
      <c r="A147" s="7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25"/>
      <c r="CB147" s="25"/>
      <c r="CC147" s="25"/>
      <c r="CD147" s="25"/>
      <c r="CE147" s="25"/>
      <c r="CF147" s="25"/>
      <c r="CG147" s="25"/>
    </row>
    <row r="148" spans="1:80" ht="12.75">
      <c r="A148" s="7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25"/>
      <c r="CB148" s="25"/>
    </row>
    <row r="149" spans="1:85" s="28" customFormat="1" ht="12">
      <c r="A149" s="84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5"/>
      <c r="CB149" s="25"/>
      <c r="CC149" s="25"/>
      <c r="CD149" s="25"/>
      <c r="CE149" s="25"/>
      <c r="CF149" s="25"/>
      <c r="CG149" s="25"/>
    </row>
    <row r="150" spans="1:85" s="28" customFormat="1" ht="12.75">
      <c r="A150" s="98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5"/>
      <c r="CB150" s="25"/>
      <c r="CC150" s="25"/>
      <c r="CD150" s="25"/>
      <c r="CE150" s="25"/>
      <c r="CF150" s="25"/>
      <c r="CG150" s="25"/>
    </row>
    <row r="151" spans="1:80" ht="12.75">
      <c r="A151" s="98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25"/>
      <c r="CB151" s="25"/>
    </row>
    <row r="152" spans="1:85" s="28" customFormat="1" ht="12">
      <c r="A152" s="8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</row>
    <row r="153" spans="1:85" s="28" customFormat="1" ht="12">
      <c r="A153" s="8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</row>
    <row r="154" spans="79:80" ht="12">
      <c r="CA154" s="25"/>
      <c r="CB154" s="25"/>
    </row>
    <row r="155" spans="79:80" ht="12">
      <c r="CA155" s="25"/>
      <c r="CB155" s="25"/>
    </row>
    <row r="156" spans="79:80" ht="12">
      <c r="CA156" s="25"/>
      <c r="CB156" s="25"/>
    </row>
    <row r="157" spans="79:80" ht="12">
      <c r="CA157" s="25"/>
      <c r="CB157" s="25"/>
    </row>
    <row r="158" spans="79:80" ht="12">
      <c r="CA158" s="25"/>
      <c r="CB158" s="25"/>
    </row>
    <row r="159" spans="79:80" ht="12">
      <c r="CA159" s="25"/>
      <c r="CB159" s="25"/>
    </row>
    <row r="160" spans="79:80" ht="12">
      <c r="CA160" s="25"/>
      <c r="CB160" s="25"/>
    </row>
    <row r="161" spans="79:80" ht="12">
      <c r="CA161" s="25"/>
      <c r="CB161" s="25"/>
    </row>
    <row r="162" spans="79:80" ht="12">
      <c r="CA162" s="25"/>
      <c r="CB162" s="25"/>
    </row>
    <row r="163" spans="79:80" ht="12">
      <c r="CA163" s="25"/>
      <c r="CB163" s="25"/>
    </row>
    <row r="164" spans="79:80" ht="12">
      <c r="CA164" s="25"/>
      <c r="CB164" s="25"/>
    </row>
    <row r="165" spans="79:80" ht="12">
      <c r="CA165" s="25"/>
      <c r="CB165" s="25"/>
    </row>
    <row r="166" spans="79:80" ht="12">
      <c r="CA166" s="25"/>
      <c r="CB166" s="25"/>
    </row>
    <row r="167" spans="79:80" ht="12">
      <c r="CA167" s="25"/>
      <c r="CB167" s="25"/>
    </row>
    <row r="168" spans="79:80" ht="12">
      <c r="CA168" s="25"/>
      <c r="CB168" s="25"/>
    </row>
    <row r="169" spans="79:80" ht="12">
      <c r="CA169" s="25"/>
      <c r="CB169" s="25"/>
    </row>
    <row r="170" spans="79:80" ht="12">
      <c r="CA170" s="25"/>
      <c r="CB170" s="25"/>
    </row>
    <row r="171" spans="79:80" ht="12">
      <c r="CA171" s="25"/>
      <c r="CB171" s="25"/>
    </row>
    <row r="172" spans="79:80" ht="12">
      <c r="CA172" s="25"/>
      <c r="CB172" s="25"/>
    </row>
    <row r="173" spans="79:80" ht="12">
      <c r="CA173" s="25"/>
      <c r="CB173" s="25"/>
    </row>
    <row r="174" spans="79:80" ht="12">
      <c r="CA174" s="25"/>
      <c r="CB174" s="25"/>
    </row>
    <row r="175" spans="79:80" ht="12">
      <c r="CA175" s="25"/>
      <c r="CB175" s="25"/>
    </row>
    <row r="176" spans="79:80" ht="12">
      <c r="CA176" s="25"/>
      <c r="CB176" s="25"/>
    </row>
    <row r="177" spans="79:80" ht="12">
      <c r="CA177" s="25"/>
      <c r="CB177" s="25"/>
    </row>
    <row r="178" spans="79:80" ht="12">
      <c r="CA178" s="25"/>
      <c r="CB178" s="25"/>
    </row>
    <row r="179" spans="79:80" ht="12">
      <c r="CA179" s="25"/>
      <c r="CB179" s="25"/>
    </row>
    <row r="180" spans="79:80" ht="12">
      <c r="CA180" s="25"/>
      <c r="CB180" s="25"/>
    </row>
    <row r="181" spans="79:80" ht="12">
      <c r="CA181" s="25"/>
      <c r="CB181" s="25"/>
    </row>
    <row r="182" spans="79:80" ht="12">
      <c r="CA182" s="25"/>
      <c r="CB182" s="25"/>
    </row>
    <row r="183" spans="79:80" ht="12">
      <c r="CA183" s="25"/>
      <c r="CB183" s="25"/>
    </row>
    <row r="184" spans="79:80" ht="12">
      <c r="CA184" s="25"/>
      <c r="CB184" s="25"/>
    </row>
    <row r="185" spans="79:80" ht="15" customHeight="1">
      <c r="CA185" s="25"/>
      <c r="CB185" s="25"/>
    </row>
    <row r="186" spans="79:80" ht="15.75" customHeight="1">
      <c r="CA186" s="25"/>
      <c r="CB186" s="25"/>
    </row>
    <row r="187" spans="79:80" ht="13.5" customHeight="1">
      <c r="CA187" s="25"/>
      <c r="CB187" s="25"/>
    </row>
    <row r="188" spans="79:80" ht="12">
      <c r="CA188" s="25"/>
      <c r="CB188" s="25"/>
    </row>
    <row r="189" spans="79:80" ht="12">
      <c r="CA189" s="25"/>
      <c r="CB189" s="25"/>
    </row>
    <row r="190" spans="79:80" ht="12.75" customHeight="1">
      <c r="CA190" s="25"/>
      <c r="CB190" s="25"/>
    </row>
    <row r="191" spans="79:80" ht="12.75" customHeight="1">
      <c r="CA191" s="25"/>
      <c r="CB191" s="25"/>
    </row>
    <row r="192" spans="79:80" ht="12">
      <c r="CA192" s="25"/>
      <c r="CB192" s="25"/>
    </row>
    <row r="193" spans="79:80" ht="12">
      <c r="CA193" s="25"/>
      <c r="CB193" s="25"/>
    </row>
    <row r="194" spans="79:80" ht="12">
      <c r="CA194" s="25"/>
      <c r="CB194" s="25"/>
    </row>
    <row r="195" spans="79:80" ht="12">
      <c r="CA195" s="25"/>
      <c r="CB195" s="25"/>
    </row>
    <row r="196" spans="79:80" ht="12">
      <c r="CA196" s="25"/>
      <c r="CB196" s="25"/>
    </row>
    <row r="197" spans="79:80" ht="12" customHeight="1">
      <c r="CA197" s="25"/>
      <c r="CB197" s="25"/>
    </row>
    <row r="198" spans="79:80" ht="12" customHeight="1">
      <c r="CA198" s="25"/>
      <c r="CB198" s="25"/>
    </row>
    <row r="199" spans="79:80" ht="12" customHeight="1">
      <c r="CA199" s="25"/>
      <c r="CB199" s="25"/>
    </row>
    <row r="200" spans="79:80" ht="12">
      <c r="CA200" s="25"/>
      <c r="CB200" s="25"/>
    </row>
    <row r="201" spans="79:80" ht="12">
      <c r="CA201" s="25"/>
      <c r="CB201" s="25"/>
    </row>
    <row r="202" spans="79:80" ht="12">
      <c r="CA202" s="25"/>
      <c r="CB202" s="25"/>
    </row>
    <row r="203" spans="79:80" ht="12">
      <c r="CA203" s="25"/>
      <c r="CB203" s="25"/>
    </row>
    <row r="204" spans="79:80" ht="12">
      <c r="CA204" s="25"/>
      <c r="CB204" s="25"/>
    </row>
    <row r="205" spans="79:80" ht="12">
      <c r="CA205" s="25"/>
      <c r="CB205" s="25"/>
    </row>
    <row r="206" spans="79:80" ht="12">
      <c r="CA206" s="25"/>
      <c r="CB206" s="25"/>
    </row>
    <row r="207" spans="79:80" ht="12">
      <c r="CA207" s="25"/>
      <c r="CB207" s="25"/>
    </row>
    <row r="208" spans="79:80" ht="12">
      <c r="CA208" s="25"/>
      <c r="CB208" s="25"/>
    </row>
    <row r="209" spans="79:80" ht="12">
      <c r="CA209" s="25"/>
      <c r="CB209" s="25"/>
    </row>
    <row r="210" spans="79:80" ht="12">
      <c r="CA210" s="25"/>
      <c r="CB210" s="25"/>
    </row>
    <row r="211" spans="79:80" ht="12">
      <c r="CA211" s="25"/>
      <c r="CB211" s="25"/>
    </row>
    <row r="212" spans="79:80" ht="12">
      <c r="CA212" s="25"/>
      <c r="CB212" s="25"/>
    </row>
    <row r="213" spans="79:80" ht="12">
      <c r="CA213" s="25"/>
      <c r="CB213" s="25"/>
    </row>
    <row r="214" spans="79:80" ht="12">
      <c r="CA214" s="25"/>
      <c r="CB214" s="25"/>
    </row>
    <row r="215" spans="79:80" ht="12">
      <c r="CA215" s="25"/>
      <c r="CB215" s="25"/>
    </row>
    <row r="216" spans="79:80" ht="12">
      <c r="CA216" s="25"/>
      <c r="CB216" s="25"/>
    </row>
    <row r="217" spans="79:80" ht="12">
      <c r="CA217" s="25"/>
      <c r="CB217" s="25"/>
    </row>
    <row r="218" spans="79:80" ht="12">
      <c r="CA218" s="25"/>
      <c r="CB218" s="25"/>
    </row>
    <row r="219" spans="79:80" ht="12">
      <c r="CA219" s="25"/>
      <c r="CB219" s="25"/>
    </row>
    <row r="220" spans="79:80" ht="12">
      <c r="CA220" s="25"/>
      <c r="CB220" s="25"/>
    </row>
    <row r="221" spans="79:80" ht="12">
      <c r="CA221" s="25"/>
      <c r="CB221" s="25"/>
    </row>
    <row r="222" spans="79:80" ht="12">
      <c r="CA222" s="25"/>
      <c r="CB222" s="25"/>
    </row>
    <row r="223" spans="79:80" ht="12">
      <c r="CA223" s="25"/>
      <c r="CB223" s="25"/>
    </row>
    <row r="224" spans="79:80" ht="12">
      <c r="CA224" s="25"/>
      <c r="CB224" s="25"/>
    </row>
    <row r="225" spans="79:80" ht="12">
      <c r="CA225" s="25"/>
      <c r="CB225" s="25"/>
    </row>
    <row r="226" spans="79:80" ht="12">
      <c r="CA226" s="25"/>
      <c r="CB226" s="25"/>
    </row>
    <row r="227" spans="79:80" ht="12">
      <c r="CA227" s="25"/>
      <c r="CB227" s="25"/>
    </row>
    <row r="228" spans="79:80" ht="12">
      <c r="CA228" s="25"/>
      <c r="CB228" s="25"/>
    </row>
    <row r="229" spans="79:80" ht="12">
      <c r="CA229" s="25"/>
      <c r="CB229" s="25"/>
    </row>
    <row r="230" spans="79:80" ht="12">
      <c r="CA230" s="25"/>
      <c r="CB230" s="25"/>
    </row>
    <row r="231" spans="79:80" ht="12">
      <c r="CA231" s="25"/>
      <c r="CB231" s="25"/>
    </row>
    <row r="232" spans="79:80" ht="12">
      <c r="CA232" s="25"/>
      <c r="CB232" s="25"/>
    </row>
    <row r="233" spans="79:80" ht="12">
      <c r="CA233" s="25"/>
      <c r="CB233" s="25"/>
    </row>
    <row r="234" spans="79:80" ht="12">
      <c r="CA234" s="25"/>
      <c r="CB234" s="25"/>
    </row>
    <row r="235" spans="79:80" ht="12">
      <c r="CA235" s="25"/>
      <c r="CB235" s="25"/>
    </row>
    <row r="236" spans="79:80" ht="12">
      <c r="CA236" s="25"/>
      <c r="CB236" s="25"/>
    </row>
    <row r="237" ht="12.75">
      <c r="CB237" s="23"/>
    </row>
    <row r="238" ht="12.75">
      <c r="CB238" s="23"/>
    </row>
    <row r="239" ht="12.75">
      <c r="CB239" s="23"/>
    </row>
    <row r="240" ht="12.75">
      <c r="CB240" s="23"/>
    </row>
    <row r="241" ht="12.75">
      <c r="CB241" s="23"/>
    </row>
    <row r="242" ht="12.75">
      <c r="CB242" s="23"/>
    </row>
    <row r="243" spans="79:80" ht="12.75">
      <c r="CA243" s="11"/>
      <c r="CB243" s="23"/>
    </row>
    <row r="244" ht="12.75">
      <c r="CB244" s="7"/>
    </row>
    <row r="246" ht="12.75">
      <c r="CA246" s="11"/>
    </row>
    <row r="248" ht="12.75">
      <c r="CA248" s="14"/>
    </row>
    <row r="249" ht="12.75">
      <c r="CA249" s="14"/>
    </row>
    <row r="250" ht="12.75">
      <c r="CA250" s="14"/>
    </row>
    <row r="252" ht="12.75">
      <c r="CB252" s="11"/>
    </row>
    <row r="255" ht="12.75">
      <c r="CB255" s="11"/>
    </row>
    <row r="257" spans="1:80" s="28" customFormat="1" ht="12.75">
      <c r="A257" s="8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4"/>
      <c r="CB257" s="14"/>
    </row>
    <row r="258" ht="12.75">
      <c r="CB258" s="14"/>
    </row>
    <row r="259" spans="79:80" ht="12.75">
      <c r="CA259" s="8"/>
      <c r="CB259" s="14"/>
    </row>
    <row r="260" ht="12.75">
      <c r="CA260" s="8"/>
    </row>
    <row r="261" ht="12.75">
      <c r="CA261" s="8"/>
    </row>
    <row r="262" ht="12.75">
      <c r="CA262" s="9"/>
    </row>
    <row r="268" ht="12.75">
      <c r="CB268" s="8"/>
    </row>
    <row r="269" ht="12.75">
      <c r="CB269" s="8"/>
    </row>
    <row r="270" ht="12.75">
      <c r="CB270" s="8"/>
    </row>
    <row r="271" ht="12.75">
      <c r="CB271" s="9"/>
    </row>
  </sheetData>
  <sheetProtection/>
  <mergeCells count="1">
    <mergeCell ref="BU2:BV3"/>
  </mergeCells>
  <printOptions/>
  <pageMargins left="0.3937007874015748" right="0.3937007874015748" top="1.4173228346456694" bottom="0.3937007874015748" header="0.7086614173228347" footer="0.5511811023622047"/>
  <pageSetup orientation="portrait" paperSize="9" scale="90" r:id="rId1"/>
  <headerFooter alignWithMargins="0">
    <oddHeader>&amp;C&amp;"Times New Roman,Bold"&amp;14 
3.5. SUNDURLIÐUN Á ÖÐRUM
 FJÁRFESTINGUM Í EFNAHAGSREIKNINGI 31.12.1998</oddHeader>
  </headerFooter>
  <rowBreaks count="3" manualBreakCount="3">
    <brk id="141" max="65535" man="1"/>
    <brk id="199" max="65535" man="1"/>
    <brk id="259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PageLayoutView="0" workbookViewId="0" topLeftCell="A1">
      <selection activeCell="A109" sqref="A109:IV111"/>
    </sheetView>
  </sheetViews>
  <sheetFormatPr defaultColWidth="9.00390625" defaultRowHeight="12.75"/>
  <cols>
    <col min="1" max="1" width="2.875" style="16" customWidth="1"/>
    <col min="2" max="2" width="1.37890625" style="16" customWidth="1"/>
    <col min="3" max="3" width="32.125" style="18" customWidth="1"/>
    <col min="4" max="4" width="5.125" style="16" customWidth="1"/>
    <col min="5" max="5" width="9.625" style="17" customWidth="1"/>
    <col min="6" max="6" width="4.375" style="18" customWidth="1"/>
    <col min="7" max="7" width="9.625" style="17" customWidth="1"/>
    <col min="8" max="8" width="5.50390625" style="18" customWidth="1"/>
    <col min="9" max="9" width="7.375" style="18" customWidth="1"/>
    <col min="10" max="11" width="0" style="18" hidden="1" customWidth="1"/>
    <col min="12" max="16384" width="9.00390625" style="18" customWidth="1"/>
  </cols>
  <sheetData>
    <row r="1" spans="1:9" ht="18.75">
      <c r="A1" s="154"/>
      <c r="B1" s="154"/>
      <c r="C1" s="155"/>
      <c r="D1" s="156" t="s">
        <v>550</v>
      </c>
      <c r="E1" s="157"/>
      <c r="F1" s="155"/>
      <c r="G1" s="157"/>
      <c r="H1" s="155"/>
      <c r="I1" s="155"/>
    </row>
    <row r="2" spans="1:9" ht="15.75">
      <c r="A2" s="154"/>
      <c r="B2" s="154"/>
      <c r="C2" s="155"/>
      <c r="D2" s="158"/>
      <c r="E2" s="157"/>
      <c r="F2" s="155"/>
      <c r="G2" s="157"/>
      <c r="H2" s="155"/>
      <c r="I2" s="155"/>
    </row>
    <row r="3" spans="1:9" ht="15.75">
      <c r="A3" s="154"/>
      <c r="B3" s="154"/>
      <c r="C3" s="155"/>
      <c r="D3" s="158"/>
      <c r="E3" s="159" t="s">
        <v>210</v>
      </c>
      <c r="F3" s="160"/>
      <c r="G3" s="159" t="s">
        <v>210</v>
      </c>
      <c r="H3" s="160"/>
      <c r="I3" s="161" t="s">
        <v>211</v>
      </c>
    </row>
    <row r="4" spans="1:9" ht="13.5" customHeight="1">
      <c r="A4" s="154"/>
      <c r="B4" s="154"/>
      <c r="C4" s="155"/>
      <c r="D4" s="154"/>
      <c r="E4" s="162" t="s">
        <v>548</v>
      </c>
      <c r="F4" s="160"/>
      <c r="G4" s="162" t="s">
        <v>426</v>
      </c>
      <c r="H4" s="160"/>
      <c r="I4" s="163" t="s">
        <v>549</v>
      </c>
    </row>
    <row r="5" spans="1:9" ht="13.5" customHeight="1">
      <c r="A5" s="154"/>
      <c r="B5" s="154"/>
      <c r="C5" s="155"/>
      <c r="D5" s="154"/>
      <c r="E5" s="164" t="s">
        <v>212</v>
      </c>
      <c r="F5" s="165"/>
      <c r="G5" s="164" t="s">
        <v>212</v>
      </c>
      <c r="H5" s="165"/>
      <c r="I5" s="165" t="s">
        <v>213</v>
      </c>
    </row>
    <row r="6" spans="1:9" ht="9" customHeight="1">
      <c r="A6" s="154"/>
      <c r="B6" s="154"/>
      <c r="C6" s="155"/>
      <c r="D6" s="154"/>
      <c r="G6" s="157"/>
      <c r="H6" s="155"/>
      <c r="I6" s="155"/>
    </row>
    <row r="7" spans="1:9" ht="13.5" customHeight="1">
      <c r="A7" s="167" t="s">
        <v>214</v>
      </c>
      <c r="B7" s="154"/>
      <c r="C7" s="155" t="s">
        <v>215</v>
      </c>
      <c r="D7" s="154"/>
      <c r="E7" s="17">
        <f>'3.1. Efnah.'!B$61</f>
        <v>60859823.21099999</v>
      </c>
      <c r="G7" s="157">
        <f>'3.2. Yfirlit'!B$59</f>
        <v>53359497.076</v>
      </c>
      <c r="H7" s="155"/>
      <c r="I7" s="166">
        <f aca="true" t="shared" si="0" ref="I7:I19">(E7/G7)-1</f>
        <v>0.1405621594281008</v>
      </c>
    </row>
    <row r="8" spans="1:9" ht="13.5" customHeight="1">
      <c r="A8" s="167" t="s">
        <v>216</v>
      </c>
      <c r="B8" s="154"/>
      <c r="C8" s="155" t="s">
        <v>344</v>
      </c>
      <c r="D8" s="154" t="s">
        <v>223</v>
      </c>
      <c r="E8" s="17">
        <f>'3.1. Efnah.'!C61</f>
        <v>36889115.788</v>
      </c>
      <c r="G8" s="157">
        <f>'3.2. Yfirlit'!C$59</f>
        <v>32885818.536</v>
      </c>
      <c r="H8" s="155"/>
      <c r="I8" s="166">
        <f>(E8/G8)-1</f>
        <v>0.12173324035153965</v>
      </c>
    </row>
    <row r="9" spans="1:9" ht="13.5" customHeight="1">
      <c r="A9" s="167" t="s">
        <v>218</v>
      </c>
      <c r="B9" s="154"/>
      <c r="C9" s="155" t="s">
        <v>512</v>
      </c>
      <c r="D9" s="154" t="s">
        <v>219</v>
      </c>
      <c r="E9" s="17">
        <f>'3.1. Efnah.'!D$61</f>
        <v>36402343.921000004</v>
      </c>
      <c r="G9" s="157">
        <f>'3.2. Yfirlit'!D$59</f>
        <v>33665680.666</v>
      </c>
      <c r="H9" s="155"/>
      <c r="I9" s="166">
        <f t="shared" si="0"/>
        <v>0.08128940811120566</v>
      </c>
    </row>
    <row r="10" spans="1:9" ht="13.5" customHeight="1">
      <c r="A10" s="167" t="s">
        <v>220</v>
      </c>
      <c r="B10" s="154"/>
      <c r="C10" s="155" t="s">
        <v>217</v>
      </c>
      <c r="D10" s="154"/>
      <c r="E10" s="17">
        <f>'3.1. Efnah.'!E61</f>
        <v>32018392.846000005</v>
      </c>
      <c r="G10" s="157">
        <f>'3.2. Yfirlit'!E$59</f>
        <v>28537644.837</v>
      </c>
      <c r="H10" s="155"/>
      <c r="I10" s="166">
        <f t="shared" si="0"/>
        <v>0.12197040186326435</v>
      </c>
    </row>
    <row r="11" spans="1:9" ht="13.5" customHeight="1">
      <c r="A11" s="167" t="s">
        <v>222</v>
      </c>
      <c r="B11" s="154"/>
      <c r="C11" s="155" t="s">
        <v>221</v>
      </c>
      <c r="D11" s="154" t="s">
        <v>223</v>
      </c>
      <c r="E11" s="17">
        <f>'3.1. Efnah.'!F61</f>
        <v>30829389.566000007</v>
      </c>
      <c r="G11" s="157">
        <f>'3.2. Yfirlit'!F$59</f>
        <v>27576586.469</v>
      </c>
      <c r="H11" s="155"/>
      <c r="I11" s="166">
        <f t="shared" si="0"/>
        <v>0.11795524803828128</v>
      </c>
    </row>
    <row r="12" spans="1:9" ht="13.5" customHeight="1">
      <c r="A12" s="167" t="s">
        <v>224</v>
      </c>
      <c r="B12" s="154"/>
      <c r="C12" s="155" t="s">
        <v>227</v>
      </c>
      <c r="D12" s="154" t="s">
        <v>223</v>
      </c>
      <c r="E12" s="17">
        <f>'3.1. Efnah.'!G61</f>
        <v>14796322.698000003</v>
      </c>
      <c r="G12" s="157">
        <f>'3.2. Yfirlit'!G$59</f>
        <v>12830016.323</v>
      </c>
      <c r="H12" s="155"/>
      <c r="I12" s="166">
        <f>(E12/G12)-1</f>
        <v>0.15325829098713317</v>
      </c>
    </row>
    <row r="13" spans="1:9" ht="13.5" customHeight="1">
      <c r="A13" s="167" t="s">
        <v>226</v>
      </c>
      <c r="B13" s="154"/>
      <c r="C13" s="155" t="s">
        <v>225</v>
      </c>
      <c r="D13" s="154"/>
      <c r="E13" s="17">
        <f>'3.1. Efnah.'!H61</f>
        <v>14658914.538000003</v>
      </c>
      <c r="G13" s="157">
        <f>'3.2. Yfirlit'!H$59</f>
        <v>13200552.79</v>
      </c>
      <c r="H13" s="155"/>
      <c r="I13" s="166">
        <f t="shared" si="0"/>
        <v>0.11047732403333721</v>
      </c>
    </row>
    <row r="14" spans="1:9" ht="13.5" customHeight="1">
      <c r="A14" s="167" t="s">
        <v>228</v>
      </c>
      <c r="B14" s="154"/>
      <c r="C14" s="155" t="s">
        <v>552</v>
      </c>
      <c r="D14" s="154"/>
      <c r="E14" s="17">
        <f>'3.1. Efnah.'!I$61</f>
        <v>14242356.033000002</v>
      </c>
      <c r="G14" s="157">
        <f>'3.2. Yfirlit'!I$59</f>
        <v>7097774.621</v>
      </c>
      <c r="H14" s="155"/>
      <c r="I14" s="166">
        <f>(E14/G14)-1</f>
        <v>1.0065945727357297</v>
      </c>
    </row>
    <row r="15" spans="1:9" ht="13.5" customHeight="1">
      <c r="A15" s="167" t="s">
        <v>230</v>
      </c>
      <c r="B15" s="154"/>
      <c r="C15" s="155" t="s">
        <v>229</v>
      </c>
      <c r="D15" s="154"/>
      <c r="E15" s="17">
        <f>'3.1. Efnah.'!J$61</f>
        <v>12055750.968</v>
      </c>
      <c r="G15" s="157">
        <f>'3.2. Yfirlit'!J$59</f>
        <v>11101281.41</v>
      </c>
      <c r="H15" s="155"/>
      <c r="I15" s="166">
        <f t="shared" si="0"/>
        <v>0.08597832292947882</v>
      </c>
    </row>
    <row r="16" spans="1:9" ht="13.5" customHeight="1">
      <c r="A16" s="167" t="s">
        <v>232</v>
      </c>
      <c r="B16" s="154"/>
      <c r="C16" s="155" t="s">
        <v>458</v>
      </c>
      <c r="D16" s="154" t="s">
        <v>223</v>
      </c>
      <c r="E16" s="17">
        <f>'3.1. Efnah.'!K$61</f>
        <v>11328355.781</v>
      </c>
      <c r="G16" s="157">
        <f>'3.2. Yfirlit'!K$59</f>
        <v>9949202.256</v>
      </c>
      <c r="H16" s="155"/>
      <c r="I16" s="166">
        <f>(E16/G16)-1</f>
        <v>0.13861950832975412</v>
      </c>
    </row>
    <row r="17" spans="1:9" ht="13.5" customHeight="1">
      <c r="A17" s="167" t="s">
        <v>234</v>
      </c>
      <c r="B17" s="154"/>
      <c r="C17" s="155" t="s">
        <v>233</v>
      </c>
      <c r="D17" s="154" t="s">
        <v>223</v>
      </c>
      <c r="E17" s="17">
        <f>'3.1. Efnah.'!L$61</f>
        <v>11327795.788999999</v>
      </c>
      <c r="G17" s="157">
        <f>'3.2. Yfirlit'!L$59</f>
        <v>10543644.677</v>
      </c>
      <c r="H17" s="155"/>
      <c r="I17" s="166">
        <f t="shared" si="0"/>
        <v>0.07437192128738501</v>
      </c>
    </row>
    <row r="18" spans="1:9" ht="13.5" customHeight="1">
      <c r="A18" s="167" t="s">
        <v>236</v>
      </c>
      <c r="B18" s="154"/>
      <c r="C18" s="155" t="s">
        <v>231</v>
      </c>
      <c r="D18" s="154"/>
      <c r="E18" s="17">
        <f>'3.1. Efnah.'!M$61</f>
        <v>9900849.698</v>
      </c>
      <c r="G18" s="157">
        <f>'3.2. Yfirlit'!M$59</f>
        <v>9062759.103</v>
      </c>
      <c r="H18" s="155"/>
      <c r="I18" s="166">
        <f t="shared" si="0"/>
        <v>0.09247631824645675</v>
      </c>
    </row>
    <row r="19" spans="1:9" ht="13.5" customHeight="1">
      <c r="A19" s="167" t="s">
        <v>237</v>
      </c>
      <c r="B19" s="154"/>
      <c r="C19" s="155" t="s">
        <v>235</v>
      </c>
      <c r="D19" s="154" t="s">
        <v>223</v>
      </c>
      <c r="E19" s="17">
        <f>'3.1. Efnah.'!N$61</f>
        <v>9791024.370000001</v>
      </c>
      <c r="G19" s="157">
        <f>'3.2. Yfirlit'!N$59</f>
        <v>8649231.378</v>
      </c>
      <c r="H19" s="155"/>
      <c r="I19" s="166">
        <f t="shared" si="0"/>
        <v>0.1320109200575026</v>
      </c>
    </row>
    <row r="20" spans="1:9" ht="13.5" customHeight="1">
      <c r="A20" s="167" t="s">
        <v>238</v>
      </c>
      <c r="B20" s="154"/>
      <c r="C20" s="155" t="s">
        <v>241</v>
      </c>
      <c r="D20" s="154"/>
      <c r="E20" s="17">
        <f>'3.1. Efnah.'!O$61</f>
        <v>8906129.370000001</v>
      </c>
      <c r="G20" s="157">
        <f>'3.2. Yfirlit'!O$59</f>
        <v>7651760.456</v>
      </c>
      <c r="H20" s="155"/>
      <c r="I20" s="166">
        <f>(E20/G20)-1</f>
        <v>0.1639320678179894</v>
      </c>
    </row>
    <row r="21" spans="1:9" ht="13.5" customHeight="1">
      <c r="A21" s="167" t="s">
        <v>240</v>
      </c>
      <c r="B21" s="154"/>
      <c r="C21" s="155" t="s">
        <v>239</v>
      </c>
      <c r="D21" s="154" t="s">
        <v>223</v>
      </c>
      <c r="E21" s="17">
        <f>'3.1. Efnah.'!P$61</f>
        <v>8211072.188999999</v>
      </c>
      <c r="G21" s="157">
        <f>'3.2. Yfirlit'!P$59</f>
        <v>7227714.101</v>
      </c>
      <c r="H21" s="155"/>
      <c r="I21" s="166">
        <f>(E21/G21)-1</f>
        <v>0.13605381649835113</v>
      </c>
    </row>
    <row r="22" spans="1:9" ht="13.5" customHeight="1">
      <c r="A22" s="167" t="s">
        <v>242</v>
      </c>
      <c r="B22" s="154"/>
      <c r="C22" s="155" t="s">
        <v>502</v>
      </c>
      <c r="D22" s="154" t="s">
        <v>223</v>
      </c>
      <c r="E22" s="17">
        <f>'3.1. Efnah.'!Q$61</f>
        <v>7749802.7870000005</v>
      </c>
      <c r="G22" s="157">
        <f>'3.2. Yfirlit'!Q$59</f>
        <v>6937468.118</v>
      </c>
      <c r="H22" s="155"/>
      <c r="I22" s="166">
        <f aca="true" t="shared" si="1" ref="I22:I46">(E22/G22)-1</f>
        <v>0.11709382373842003</v>
      </c>
    </row>
    <row r="23" spans="1:9" ht="13.5" customHeight="1">
      <c r="A23" s="167" t="s">
        <v>243</v>
      </c>
      <c r="B23" s="154"/>
      <c r="C23" s="155" t="s">
        <v>563</v>
      </c>
      <c r="D23" s="154"/>
      <c r="E23" s="17">
        <f>'3.1. Efnah.'!R$61</f>
        <v>7450892.071999999</v>
      </c>
      <c r="G23" s="157">
        <f>'3.2. Yfirlit'!R$59</f>
        <v>6093838.095</v>
      </c>
      <c r="H23" s="155"/>
      <c r="I23" s="166">
        <f t="shared" si="1"/>
        <v>0.222692817866865</v>
      </c>
    </row>
    <row r="24" spans="1:9" ht="13.5" customHeight="1">
      <c r="A24" s="167" t="s">
        <v>244</v>
      </c>
      <c r="B24" s="154"/>
      <c r="C24" s="155" t="s">
        <v>247</v>
      </c>
      <c r="D24" s="154" t="s">
        <v>223</v>
      </c>
      <c r="E24" s="17">
        <f>'3.1. Efnah.'!S$61</f>
        <v>5482530.702</v>
      </c>
      <c r="G24" s="157">
        <f>'3.2. Yfirlit'!S$59</f>
        <v>4922046.996</v>
      </c>
      <c r="H24" s="155"/>
      <c r="I24" s="166">
        <f t="shared" si="1"/>
        <v>0.1138720752677671</v>
      </c>
    </row>
    <row r="25" spans="1:9" ht="13.5" customHeight="1">
      <c r="A25" s="167" t="s">
        <v>245</v>
      </c>
      <c r="B25" s="154"/>
      <c r="C25" s="155" t="s">
        <v>253</v>
      </c>
      <c r="D25" s="154" t="s">
        <v>254</v>
      </c>
      <c r="E25" s="17">
        <f>'3.1. Efnah.'!T$61</f>
        <v>5437657.947000001</v>
      </c>
      <c r="G25" s="157">
        <f>'3.2. Yfirlit'!T$59</f>
        <v>4250973.576</v>
      </c>
      <c r="H25" s="155"/>
      <c r="I25" s="166">
        <f>(E25/G25)-1</f>
        <v>0.27915590388511036</v>
      </c>
    </row>
    <row r="26" spans="1:9" ht="13.5" customHeight="1">
      <c r="A26" s="167" t="s">
        <v>246</v>
      </c>
      <c r="B26" s="154"/>
      <c r="C26" s="155" t="s">
        <v>588</v>
      </c>
      <c r="D26" s="154"/>
      <c r="E26" s="17">
        <f>'3.1. Efnah.'!U$61</f>
        <v>5379294.343</v>
      </c>
      <c r="G26" s="157">
        <f>'3.2. Yfirlit'!U$59</f>
        <v>4701050</v>
      </c>
      <c r="H26" s="155"/>
      <c r="I26" s="166">
        <f>(E26/G26)-1</f>
        <v>0.14427507535550577</v>
      </c>
    </row>
    <row r="27" spans="1:9" ht="13.5" customHeight="1">
      <c r="A27" s="167" t="s">
        <v>248</v>
      </c>
      <c r="B27" s="154"/>
      <c r="C27" s="155" t="s">
        <v>515</v>
      </c>
      <c r="D27" s="154"/>
      <c r="E27" s="17">
        <f>'3.1. Efnah.'!V$61</f>
        <v>5289685.843</v>
      </c>
      <c r="G27" s="157">
        <f>'3.2. Yfirlit'!V$59</f>
        <v>4773176.729</v>
      </c>
      <c r="H27" s="155"/>
      <c r="I27" s="166">
        <f t="shared" si="1"/>
        <v>0.10821076681738773</v>
      </c>
    </row>
    <row r="28" spans="1:9" ht="13.5" customHeight="1">
      <c r="A28" s="167" t="s">
        <v>249</v>
      </c>
      <c r="B28" s="154"/>
      <c r="C28" s="155" t="s">
        <v>347</v>
      </c>
      <c r="D28" s="154" t="s">
        <v>219</v>
      </c>
      <c r="E28" s="17">
        <f>'3.1. Efnah.'!W$61</f>
        <v>4632716.112000001</v>
      </c>
      <c r="G28" s="157">
        <f>'3.2. Yfirlit'!W$59</f>
        <v>4281023.992</v>
      </c>
      <c r="H28" s="155"/>
      <c r="I28" s="166">
        <f>(E28/G28)-1</f>
        <v>0.08215140131361376</v>
      </c>
    </row>
    <row r="29" spans="1:9" ht="13.5" customHeight="1">
      <c r="A29" s="167" t="s">
        <v>250</v>
      </c>
      <c r="B29" s="154"/>
      <c r="C29" s="155" t="s">
        <v>273</v>
      </c>
      <c r="D29" s="154" t="s">
        <v>254</v>
      </c>
      <c r="E29" s="17">
        <f>'3.1. Efnah.'!X$61</f>
        <v>4405226.127000001</v>
      </c>
      <c r="G29" s="157">
        <f>'3.2. Yfirlit'!X$59</f>
        <v>3260226.247</v>
      </c>
      <c r="H29" s="155"/>
      <c r="I29" s="166">
        <f>(E29/G29)-1</f>
        <v>0.35120258327274345</v>
      </c>
    </row>
    <row r="30" spans="1:9" ht="13.5" customHeight="1">
      <c r="A30" s="167" t="s">
        <v>251</v>
      </c>
      <c r="B30" s="154"/>
      <c r="C30" s="155" t="s">
        <v>556</v>
      </c>
      <c r="D30" s="154" t="s">
        <v>570</v>
      </c>
      <c r="E30" s="17">
        <f>'3.1. Efnah.'!Y$61</f>
        <v>4084238.033</v>
      </c>
      <c r="G30" s="157">
        <f>3063141+308436</f>
        <v>3371577</v>
      </c>
      <c r="H30" s="155"/>
      <c r="I30" s="166">
        <f>(E30/G30)-1</f>
        <v>0.21137320399326476</v>
      </c>
    </row>
    <row r="31" spans="1:9" ht="13.5" customHeight="1">
      <c r="A31" s="167" t="s">
        <v>252</v>
      </c>
      <c r="B31" s="154"/>
      <c r="C31" s="155" t="s">
        <v>562</v>
      </c>
      <c r="D31" s="154" t="s">
        <v>223</v>
      </c>
      <c r="E31" s="17">
        <f>'3.1. Efnah.'!Z$61</f>
        <v>3921718.4329999997</v>
      </c>
      <c r="G31" s="157">
        <f>'3.2. Yfirlit'!Z$59</f>
        <v>3441793.974</v>
      </c>
      <c r="H31" s="155"/>
      <c r="I31" s="166">
        <f t="shared" si="1"/>
        <v>0.1394402054932531</v>
      </c>
    </row>
    <row r="32" spans="1:9" ht="13.5" customHeight="1">
      <c r="A32" s="167" t="s">
        <v>255</v>
      </c>
      <c r="B32" s="154"/>
      <c r="C32" s="155" t="s">
        <v>511</v>
      </c>
      <c r="D32" s="154" t="s">
        <v>219</v>
      </c>
      <c r="E32" s="17">
        <f>'3.1. Efnah.'!AA$61</f>
        <v>3438070.965</v>
      </c>
      <c r="G32" s="157">
        <f>'3.2. Yfirlit'!AA$59</f>
        <v>615911.397</v>
      </c>
      <c r="H32" s="155"/>
      <c r="I32" s="166">
        <f>(E32/G32)-1</f>
        <v>4.582086939365404</v>
      </c>
    </row>
    <row r="33" spans="1:9" ht="13.5" customHeight="1">
      <c r="A33" s="167" t="s">
        <v>256</v>
      </c>
      <c r="B33" s="154"/>
      <c r="C33" s="155" t="s">
        <v>262</v>
      </c>
      <c r="D33" s="154" t="s">
        <v>219</v>
      </c>
      <c r="E33" s="17">
        <f>'3.1. Efnah.'!AB$61</f>
        <v>2688005.632</v>
      </c>
      <c r="G33" s="157">
        <f>'3.2. Yfirlit'!AB$59</f>
        <v>2451659.766</v>
      </c>
      <c r="H33" s="155"/>
      <c r="I33" s="166">
        <f t="shared" si="1"/>
        <v>0.09640239207645429</v>
      </c>
    </row>
    <row r="34" spans="1:9" ht="13.5" customHeight="1">
      <c r="A34" s="167" t="s">
        <v>257</v>
      </c>
      <c r="B34" s="154"/>
      <c r="C34" s="155" t="s">
        <v>260</v>
      </c>
      <c r="D34" s="154"/>
      <c r="E34" s="17">
        <f>'3.1. Efnah.'!AC$61</f>
        <v>2626303.382</v>
      </c>
      <c r="G34" s="157">
        <f>'3.2. Yfirlit'!AC$59</f>
        <v>2367664.799</v>
      </c>
      <c r="H34" s="155"/>
      <c r="I34" s="166">
        <f t="shared" si="1"/>
        <v>0.10923783768261375</v>
      </c>
    </row>
    <row r="35" spans="1:9" ht="13.5" customHeight="1">
      <c r="A35" s="167" t="s">
        <v>259</v>
      </c>
      <c r="B35" s="154"/>
      <c r="C35" s="155" t="s">
        <v>258</v>
      </c>
      <c r="D35" s="154"/>
      <c r="E35" s="17">
        <f>'3.1. Efnah.'!AD$61</f>
        <v>2501463.6479999996</v>
      </c>
      <c r="G35" s="157">
        <f>'3.2. Yfirlit'!AD$59</f>
        <v>2312577.994</v>
      </c>
      <c r="H35" s="155"/>
      <c r="I35" s="166">
        <f t="shared" si="1"/>
        <v>0.0816775280617843</v>
      </c>
    </row>
    <row r="36" spans="1:9" ht="13.5" customHeight="1">
      <c r="A36" s="167" t="s">
        <v>261</v>
      </c>
      <c r="B36" s="154"/>
      <c r="C36" s="155" t="s">
        <v>265</v>
      </c>
      <c r="D36" s="154" t="s">
        <v>266</v>
      </c>
      <c r="E36" s="17">
        <f>'3.1. Efnah.'!AE$61</f>
        <v>2328985.6700000004</v>
      </c>
      <c r="G36" s="157">
        <f>'3.2. Yfirlit'!AE$59</f>
        <v>2150927.761</v>
      </c>
      <c r="H36" s="155"/>
      <c r="I36" s="166">
        <f t="shared" si="1"/>
        <v>0.08278191031260795</v>
      </c>
    </row>
    <row r="37" spans="1:9" ht="13.5" customHeight="1">
      <c r="A37" s="167" t="s">
        <v>263</v>
      </c>
      <c r="B37" s="154"/>
      <c r="C37" s="155" t="s">
        <v>307</v>
      </c>
      <c r="D37" s="154" t="s">
        <v>254</v>
      </c>
      <c r="E37" s="17">
        <f>'3.1. Efnah.'!AF$61</f>
        <v>2314143.1829999997</v>
      </c>
      <c r="G37" s="157">
        <f>'3.2. Yfirlit'!AF$59</f>
        <v>1539296.903</v>
      </c>
      <c r="H37" s="155"/>
      <c r="I37" s="166">
        <f>(E37/G37)-1</f>
        <v>0.5033767549911063</v>
      </c>
    </row>
    <row r="38" spans="1:9" ht="13.5" customHeight="1">
      <c r="A38" s="167" t="s">
        <v>264</v>
      </c>
      <c r="B38" s="154"/>
      <c r="C38" s="155" t="s">
        <v>268</v>
      </c>
      <c r="D38" s="154" t="s">
        <v>219</v>
      </c>
      <c r="E38" s="17">
        <f>'3.1. Efnah.'!AG$61</f>
        <v>2247105.389</v>
      </c>
      <c r="G38" s="157">
        <f>'3.2. Yfirlit'!AG$59</f>
        <v>1926004.472</v>
      </c>
      <c r="H38" s="155"/>
      <c r="I38" s="166">
        <f t="shared" si="1"/>
        <v>0.16671867675704966</v>
      </c>
    </row>
    <row r="39" spans="1:9" ht="13.5" customHeight="1">
      <c r="A39" s="167" t="s">
        <v>267</v>
      </c>
      <c r="B39" s="154"/>
      <c r="C39" s="155" t="s">
        <v>270</v>
      </c>
      <c r="D39" s="154"/>
      <c r="E39" s="17">
        <f>'3.1. Efnah.'!AH$61</f>
        <v>2150288.074</v>
      </c>
      <c r="G39" s="157">
        <f>'3.2. Yfirlit'!AH$59</f>
        <v>2018092.528</v>
      </c>
      <c r="H39" s="155"/>
      <c r="I39" s="166">
        <f>(E39/G39)-1</f>
        <v>0.06550519570626956</v>
      </c>
    </row>
    <row r="40" spans="1:9" ht="13.5" customHeight="1">
      <c r="A40" s="167" t="s">
        <v>269</v>
      </c>
      <c r="B40" s="154"/>
      <c r="C40" s="155" t="s">
        <v>320</v>
      </c>
      <c r="D40" s="154" t="s">
        <v>254</v>
      </c>
      <c r="E40" s="17">
        <f>'3.1. Efnah.'!AI61</f>
        <v>2002557</v>
      </c>
      <c r="G40" s="157">
        <f>'3.2. Yfirlit'!AI$59</f>
        <v>932484</v>
      </c>
      <c r="H40" s="155"/>
      <c r="I40" s="166">
        <f>(E40/G40)-1</f>
        <v>1.1475510571763161</v>
      </c>
    </row>
    <row r="41" spans="1:9" ht="13.5" customHeight="1">
      <c r="A41" s="167" t="s">
        <v>271</v>
      </c>
      <c r="B41" s="154"/>
      <c r="C41" s="155" t="s">
        <v>275</v>
      </c>
      <c r="D41" s="154"/>
      <c r="E41" s="17">
        <f>'3.1. Efnah.'!AJ$61</f>
        <v>1693763.631</v>
      </c>
      <c r="G41" s="157">
        <f>'3.2. Yfirlit'!AJ$59</f>
        <v>1538045.479</v>
      </c>
      <c r="H41" s="155"/>
      <c r="I41" s="166">
        <f t="shared" si="1"/>
        <v>0.10124417913912676</v>
      </c>
    </row>
    <row r="42" spans="1:9" ht="13.5" customHeight="1">
      <c r="A42" s="167" t="s">
        <v>272</v>
      </c>
      <c r="B42" s="154"/>
      <c r="C42" s="155" t="s">
        <v>278</v>
      </c>
      <c r="D42" s="154" t="s">
        <v>223</v>
      </c>
      <c r="E42" s="17">
        <f>'3.1. Efnah.'!AK$61</f>
        <v>1683730.152</v>
      </c>
      <c r="G42" s="157">
        <f>'3.2. Yfirlit'!AK$59</f>
        <v>1522875.973</v>
      </c>
      <c r="H42" s="155"/>
      <c r="I42" s="166">
        <f t="shared" si="1"/>
        <v>0.10562526551858609</v>
      </c>
    </row>
    <row r="43" spans="1:9" ht="13.5" customHeight="1">
      <c r="A43" s="167" t="s">
        <v>274</v>
      </c>
      <c r="B43" s="154"/>
      <c r="C43" s="155" t="s">
        <v>281</v>
      </c>
      <c r="D43" s="154" t="s">
        <v>223</v>
      </c>
      <c r="E43" s="17">
        <f>'3.1. Efnah.'!AL$61</f>
        <v>1417460.1160000002</v>
      </c>
      <c r="G43" s="157">
        <f>'3.2. Yfirlit'!AL$59</f>
        <v>1267092.172</v>
      </c>
      <c r="H43" s="155"/>
      <c r="I43" s="166">
        <f t="shared" si="1"/>
        <v>0.11867166992489331</v>
      </c>
    </row>
    <row r="44" spans="1:9" ht="13.5" customHeight="1">
      <c r="A44" s="167" t="s">
        <v>276</v>
      </c>
      <c r="B44" s="154"/>
      <c r="C44" s="155" t="s">
        <v>283</v>
      </c>
      <c r="D44" s="154"/>
      <c r="E44" s="17">
        <f>'3.1. Efnah.'!AM$61</f>
        <v>1340442.706</v>
      </c>
      <c r="G44" s="157">
        <f>'3.2. Yfirlit'!AM$59</f>
        <v>1145154.233</v>
      </c>
      <c r="H44" s="155"/>
      <c r="I44" s="166">
        <f t="shared" si="1"/>
        <v>0.17053464710023913</v>
      </c>
    </row>
    <row r="45" spans="1:9" ht="13.5" customHeight="1">
      <c r="A45" s="167" t="s">
        <v>277</v>
      </c>
      <c r="B45" s="154"/>
      <c r="C45" s="155" t="s">
        <v>286</v>
      </c>
      <c r="D45" s="154"/>
      <c r="E45" s="17">
        <f>'3.1. Efnah.'!AN$61</f>
        <v>1309040.281</v>
      </c>
      <c r="G45" s="157">
        <f>'3.2. Yfirlit'!AN$59</f>
        <v>1116314.052</v>
      </c>
      <c r="H45" s="155"/>
      <c r="I45" s="166">
        <f t="shared" si="1"/>
        <v>0.17264516974834243</v>
      </c>
    </row>
    <row r="46" spans="1:9" ht="13.5" customHeight="1">
      <c r="A46" s="167" t="s">
        <v>279</v>
      </c>
      <c r="B46" s="154"/>
      <c r="C46" s="155" t="s">
        <v>289</v>
      </c>
      <c r="D46" s="154" t="s">
        <v>219</v>
      </c>
      <c r="E46" s="17">
        <f>'3.1. Efnah.'!AO$61</f>
        <v>1083640.4809999997</v>
      </c>
      <c r="G46" s="157">
        <f>'3.2. Yfirlit'!AO$59</f>
        <v>974429.48</v>
      </c>
      <c r="H46" s="155"/>
      <c r="I46" s="166">
        <f t="shared" si="1"/>
        <v>0.11207686471061984</v>
      </c>
    </row>
    <row r="47" ht="12.75">
      <c r="A47" s="167"/>
    </row>
    <row r="48" ht="12.75">
      <c r="A48" s="167"/>
    </row>
    <row r="49" spans="1:9" ht="12.75">
      <c r="A49" s="154"/>
      <c r="B49" s="154"/>
      <c r="C49" s="155"/>
      <c r="D49" s="154"/>
      <c r="G49" s="157"/>
      <c r="H49" s="155"/>
      <c r="I49" s="155"/>
    </row>
    <row r="53" ht="12.75">
      <c r="C53"/>
    </row>
    <row r="54" ht="12.75">
      <c r="C54" s="19" t="s">
        <v>284</v>
      </c>
    </row>
    <row r="55" ht="12.75">
      <c r="C55" s="94" t="s">
        <v>592</v>
      </c>
    </row>
    <row r="56" ht="12.75">
      <c r="C56" s="94" t="s">
        <v>568</v>
      </c>
    </row>
    <row r="59" spans="1:9" ht="13.5" customHeight="1">
      <c r="A59" s="87"/>
      <c r="E59" s="221" t="s">
        <v>210</v>
      </c>
      <c r="F59" s="222"/>
      <c r="G59" s="223" t="s">
        <v>210</v>
      </c>
      <c r="H59" s="222"/>
      <c r="I59" s="224" t="s">
        <v>211</v>
      </c>
    </row>
    <row r="60" spans="1:9" ht="13.5" customHeight="1">
      <c r="A60" s="87"/>
      <c r="C60" s="18" t="s">
        <v>165</v>
      </c>
      <c r="E60" s="221" t="s">
        <v>548</v>
      </c>
      <c r="F60" s="222"/>
      <c r="G60" s="223" t="s">
        <v>426</v>
      </c>
      <c r="H60" s="222"/>
      <c r="I60" s="224" t="s">
        <v>549</v>
      </c>
    </row>
    <row r="61" spans="1:9" ht="13.5" customHeight="1">
      <c r="A61" s="87"/>
      <c r="E61" s="220" t="s">
        <v>212</v>
      </c>
      <c r="F61" s="16"/>
      <c r="G61" s="164" t="s">
        <v>212</v>
      </c>
      <c r="H61" s="16"/>
      <c r="I61" s="225" t="s">
        <v>213</v>
      </c>
    </row>
    <row r="62" spans="1:9" ht="9" customHeight="1">
      <c r="A62" s="154"/>
      <c r="B62" s="154"/>
      <c r="C62" s="155"/>
      <c r="D62" s="154"/>
      <c r="G62" s="157"/>
      <c r="H62" s="155"/>
      <c r="I62" s="155"/>
    </row>
    <row r="63" spans="1:9" ht="13.5" customHeight="1">
      <c r="A63" s="87" t="s">
        <v>280</v>
      </c>
      <c r="C63" s="18" t="s">
        <v>593</v>
      </c>
      <c r="E63" s="17">
        <f>'3.1. Efnah.'!AP$61</f>
        <v>1057977.5969999998</v>
      </c>
      <c r="G63" s="157">
        <f>'3.2. Yfirlit'!AP$59</f>
        <v>994313.993</v>
      </c>
      <c r="I63" s="20">
        <f>(E63/G63)-1</f>
        <v>0.0640276657556802</v>
      </c>
    </row>
    <row r="64" spans="1:9" ht="13.5" customHeight="1">
      <c r="A64" s="87" t="s">
        <v>282</v>
      </c>
      <c r="C64" s="18" t="s">
        <v>518</v>
      </c>
      <c r="D64" s="16" t="s">
        <v>219</v>
      </c>
      <c r="E64" s="17">
        <f>'3.1. Efnah.'!AQ$61</f>
        <v>948063.817</v>
      </c>
      <c r="G64" s="157">
        <f>'3.2. Yfirlit'!AQ$59</f>
        <v>826099.983</v>
      </c>
      <c r="I64" s="20">
        <f aca="true" t="shared" si="2" ref="I64:I78">(E64/G64)-1</f>
        <v>0.14763810254188092</v>
      </c>
    </row>
    <row r="65" spans="1:9" ht="13.5" customHeight="1">
      <c r="A65" s="87" t="s">
        <v>285</v>
      </c>
      <c r="C65" s="18" t="s">
        <v>296</v>
      </c>
      <c r="D65" s="16" t="s">
        <v>254</v>
      </c>
      <c r="E65" s="17">
        <f>'3.1. Efnah.'!AR61</f>
        <v>865113.404</v>
      </c>
      <c r="G65" s="157">
        <f>'3.2. Yfirlit'!AR$59</f>
        <v>756335.21</v>
      </c>
      <c r="I65" s="20">
        <f>(E65/G65)-1</f>
        <v>0.14382272907802363</v>
      </c>
    </row>
    <row r="66" spans="1:9" ht="13.5" customHeight="1">
      <c r="A66" s="87" t="s">
        <v>287</v>
      </c>
      <c r="C66" s="18" t="s">
        <v>292</v>
      </c>
      <c r="D66" s="16" t="s">
        <v>219</v>
      </c>
      <c r="E66" s="17">
        <f>'3.1. Efnah.'!AS$61</f>
        <v>853427.3439999999</v>
      </c>
      <c r="G66" s="157">
        <f>'3.2. Yfirlit'!AS$59</f>
        <v>777562.588</v>
      </c>
      <c r="I66" s="20">
        <f t="shared" si="2"/>
        <v>0.09756739479343368</v>
      </c>
    </row>
    <row r="67" spans="1:9" ht="13.5" customHeight="1">
      <c r="A67" s="87" t="s">
        <v>288</v>
      </c>
      <c r="C67" s="18" t="s">
        <v>294</v>
      </c>
      <c r="D67" s="16" t="s">
        <v>254</v>
      </c>
      <c r="E67" s="17">
        <f>'3.1. Efnah.'!AT$61</f>
        <v>842974.5129999999</v>
      </c>
      <c r="G67" s="157">
        <f>'3.2. Yfirlit'!AT$59</f>
        <v>789116.466</v>
      </c>
      <c r="I67" s="20">
        <f>(E67/G67)-1</f>
        <v>0.06825107486731863</v>
      </c>
    </row>
    <row r="68" spans="1:9" ht="13.5" customHeight="1">
      <c r="A68" s="87" t="s">
        <v>290</v>
      </c>
      <c r="C68" s="18" t="s">
        <v>298</v>
      </c>
      <c r="D68" s="16" t="s">
        <v>223</v>
      </c>
      <c r="E68" s="17">
        <f>'3.1. Efnah.'!AU$61</f>
        <v>819905.77</v>
      </c>
      <c r="G68" s="157">
        <f>'3.2. Yfirlit'!AU$59</f>
        <v>745289.116</v>
      </c>
      <c r="I68" s="20">
        <f t="shared" si="2"/>
        <v>0.10011772934572138</v>
      </c>
    </row>
    <row r="69" spans="1:9" ht="13.5" customHeight="1">
      <c r="A69" s="87" t="s">
        <v>291</v>
      </c>
      <c r="C69" s="18" t="s">
        <v>303</v>
      </c>
      <c r="D69" s="16" t="s">
        <v>219</v>
      </c>
      <c r="E69" s="17">
        <f>'3.1. Efnah.'!AV61</f>
        <v>653442.0950000001</v>
      </c>
      <c r="G69" s="157">
        <f>'3.2. Yfirlit'!AV$59</f>
        <v>607931.465</v>
      </c>
      <c r="I69" s="20">
        <f>(E69/G69)-1</f>
        <v>0.07486144840356324</v>
      </c>
    </row>
    <row r="70" spans="1:9" ht="13.5" customHeight="1">
      <c r="A70" s="87" t="s">
        <v>293</v>
      </c>
      <c r="C70" s="18" t="s">
        <v>300</v>
      </c>
      <c r="D70" s="16" t="s">
        <v>301</v>
      </c>
      <c r="E70" s="17">
        <f>'3.1. Efnah.'!AW$61</f>
        <v>619040.726</v>
      </c>
      <c r="G70" s="157">
        <f>'3.2. Yfirlit'!AW$59</f>
        <v>608859.476</v>
      </c>
      <c r="I70" s="20">
        <f t="shared" si="2"/>
        <v>0.016721838784356846</v>
      </c>
    </row>
    <row r="71" spans="1:9" ht="13.5" customHeight="1">
      <c r="A71" s="87" t="s">
        <v>295</v>
      </c>
      <c r="C71" s="18" t="s">
        <v>305</v>
      </c>
      <c r="D71" s="16" t="s">
        <v>301</v>
      </c>
      <c r="E71" s="17">
        <f>'3.1. Efnah.'!AX61</f>
        <v>535622.872</v>
      </c>
      <c r="G71" s="157">
        <f>'3.2. Yfirlit'!AX$59</f>
        <v>525982.177</v>
      </c>
      <c r="I71" s="20">
        <f t="shared" si="2"/>
        <v>0.018328938548805462</v>
      </c>
    </row>
    <row r="72" spans="1:9" ht="13.5" customHeight="1">
      <c r="A72" s="87" t="s">
        <v>297</v>
      </c>
      <c r="C72" s="18" t="s">
        <v>459</v>
      </c>
      <c r="D72" s="16" t="s">
        <v>254</v>
      </c>
      <c r="E72" s="17">
        <f>'3.1. Efnah.'!AY$61</f>
        <v>439324.18400000007</v>
      </c>
      <c r="G72" s="157">
        <f>'3.2. Yfirlit'!AY$59</f>
        <v>151708.424</v>
      </c>
      <c r="I72" s="20">
        <f>(E72/G72)-1</f>
        <v>1.8958456782861317</v>
      </c>
    </row>
    <row r="73" spans="1:9" ht="13.5" customHeight="1">
      <c r="A73" s="87" t="s">
        <v>299</v>
      </c>
      <c r="C73" s="18" t="s">
        <v>519</v>
      </c>
      <c r="D73" s="16" t="s">
        <v>301</v>
      </c>
      <c r="E73" s="17">
        <f>'3.1. Efnah.'!AZ61</f>
        <v>433259.767</v>
      </c>
      <c r="G73" s="157">
        <f>'3.2. Yfirlit'!AZ$59</f>
        <v>428390.579</v>
      </c>
      <c r="I73" s="20">
        <f t="shared" si="2"/>
        <v>0.01136623501704026</v>
      </c>
    </row>
    <row r="74" spans="1:9" ht="13.5" customHeight="1">
      <c r="A74" s="87" t="s">
        <v>302</v>
      </c>
      <c r="C74" s="18" t="s">
        <v>314</v>
      </c>
      <c r="D74" s="16" t="s">
        <v>315</v>
      </c>
      <c r="E74" s="17">
        <f>'3.1. Efnah.'!BA61</f>
        <v>419469.16799999995</v>
      </c>
      <c r="G74" s="157">
        <f>'3.2. Yfirlit'!BA$59</f>
        <v>387061.195</v>
      </c>
      <c r="I74" s="20">
        <f>(E74/G74)-1</f>
        <v>0.08372829262824943</v>
      </c>
    </row>
    <row r="75" spans="1:9" ht="13.5" customHeight="1">
      <c r="A75" s="87" t="s">
        <v>304</v>
      </c>
      <c r="C75" s="18" t="s">
        <v>311</v>
      </c>
      <c r="D75" s="16" t="s">
        <v>301</v>
      </c>
      <c r="E75" s="17">
        <f>'3.1. Efnah.'!BB61</f>
        <v>391511.83499999996</v>
      </c>
      <c r="G75" s="157">
        <f>'3.2. Yfirlit'!BB$59</f>
        <v>391064.473</v>
      </c>
      <c r="I75" s="20">
        <f t="shared" si="2"/>
        <v>0.0011439597071247753</v>
      </c>
    </row>
    <row r="76" spans="1:9" ht="13.5" customHeight="1">
      <c r="A76" s="87" t="s">
        <v>306</v>
      </c>
      <c r="C76" s="18" t="s">
        <v>497</v>
      </c>
      <c r="D76" s="16" t="s">
        <v>219</v>
      </c>
      <c r="E76" s="17">
        <f>'3.1. Efnah.'!BC61</f>
        <v>375827.04099999997</v>
      </c>
      <c r="G76" s="157">
        <f>'3.2. Yfirlit'!BC$59</f>
        <v>347864.197</v>
      </c>
      <c r="I76" s="20">
        <f>(E76/G76)-1</f>
        <v>0.08038436907607371</v>
      </c>
    </row>
    <row r="77" spans="1:9" ht="13.5" customHeight="1">
      <c r="A77" s="87" t="s">
        <v>308</v>
      </c>
      <c r="C77" s="18" t="s">
        <v>322</v>
      </c>
      <c r="D77" s="16" t="s">
        <v>219</v>
      </c>
      <c r="E77" s="17">
        <f>'3.1. Efnah.'!BD61</f>
        <v>247140.90600000002</v>
      </c>
      <c r="G77" s="157">
        <f>'3.2. Yfirlit'!BD$59</f>
        <v>232462.082</v>
      </c>
      <c r="I77" s="20">
        <f>(E77/G77)-1</f>
        <v>0.06314502508843578</v>
      </c>
    </row>
    <row r="78" spans="1:9" ht="13.5" customHeight="1">
      <c r="A78" s="87" t="s">
        <v>309</v>
      </c>
      <c r="C78" s="18" t="s">
        <v>325</v>
      </c>
      <c r="D78" s="16" t="s">
        <v>266</v>
      </c>
      <c r="E78" s="17">
        <f>'3.1. Efnah.'!BE$61</f>
        <v>201855.40600000002</v>
      </c>
      <c r="G78" s="157">
        <f>'3.2. Yfirlit'!BE$59</f>
        <v>181586.855</v>
      </c>
      <c r="I78" s="20">
        <f t="shared" si="2"/>
        <v>0.11161904312952609</v>
      </c>
    </row>
    <row r="79" spans="1:9" ht="13.5" customHeight="1">
      <c r="A79" s="87" t="s">
        <v>310</v>
      </c>
      <c r="C79" s="18" t="s">
        <v>324</v>
      </c>
      <c r="D79" s="16" t="s">
        <v>301</v>
      </c>
      <c r="E79" s="17">
        <f>'3.1. Efnah.'!BF$61</f>
        <v>162156.29799999998</v>
      </c>
      <c r="G79" s="157">
        <f>'3.2. Yfirlit'!BF$59</f>
        <v>165755.93</v>
      </c>
      <c r="I79" s="20">
        <f aca="true" t="shared" si="3" ref="I79:I86">(E79/G79)-1</f>
        <v>-0.021716459857574977</v>
      </c>
    </row>
    <row r="80" spans="1:9" ht="13.5" customHeight="1">
      <c r="A80" s="87" t="s">
        <v>312</v>
      </c>
      <c r="C80" s="18" t="s">
        <v>326</v>
      </c>
      <c r="D80" s="16" t="s">
        <v>219</v>
      </c>
      <c r="E80" s="17">
        <f>'3.1. Efnah.'!BG$61</f>
        <v>153041.67700000003</v>
      </c>
      <c r="G80" s="157">
        <f>'3.2. Yfirlit'!BG$59</f>
        <v>149601.198</v>
      </c>
      <c r="I80" s="20">
        <f t="shared" si="3"/>
        <v>0.022997670112240742</v>
      </c>
    </row>
    <row r="81" spans="1:9" ht="13.5" customHeight="1">
      <c r="A81" s="87" t="s">
        <v>313</v>
      </c>
      <c r="C81" s="18" t="s">
        <v>327</v>
      </c>
      <c r="D81" s="16" t="s">
        <v>254</v>
      </c>
      <c r="E81" s="17">
        <f>'3.1. Efnah.'!BH$61</f>
        <v>132375.469</v>
      </c>
      <c r="G81" s="157">
        <f>'3.2. Yfirlit'!BH$59</f>
        <v>118678.984</v>
      </c>
      <c r="I81" s="20">
        <f t="shared" si="3"/>
        <v>0.11540783834145407</v>
      </c>
    </row>
    <row r="82" spans="1:9" ht="13.5" customHeight="1">
      <c r="A82" s="87" t="s">
        <v>316</v>
      </c>
      <c r="C82" s="18" t="s">
        <v>328</v>
      </c>
      <c r="D82" s="16" t="s">
        <v>254</v>
      </c>
      <c r="E82" s="17">
        <f>'3.1. Efnah.'!BI$61</f>
        <v>104926.618</v>
      </c>
      <c r="G82" s="157">
        <f>'3.2. Yfirlit'!BI$59</f>
        <v>108384.022</v>
      </c>
      <c r="I82" s="20">
        <f t="shared" si="3"/>
        <v>-0.03189957279865474</v>
      </c>
    </row>
    <row r="83" spans="1:9" ht="13.5" customHeight="1">
      <c r="A83" s="87" t="s">
        <v>317</v>
      </c>
      <c r="C83" s="18" t="s">
        <v>329</v>
      </c>
      <c r="D83" s="16" t="s">
        <v>219</v>
      </c>
      <c r="E83" s="17">
        <f>'3.1. Efnah.'!BJ$61</f>
        <v>93612.75200000001</v>
      </c>
      <c r="G83" s="157">
        <f>'3.2. Yfirlit'!BJ$59</f>
        <v>98072.448</v>
      </c>
      <c r="I83" s="20">
        <f t="shared" si="3"/>
        <v>-0.04547348507095483</v>
      </c>
    </row>
    <row r="84" spans="1:9" ht="13.5" customHeight="1">
      <c r="A84" s="87" t="s">
        <v>318</v>
      </c>
      <c r="C84" s="18" t="s">
        <v>557</v>
      </c>
      <c r="D84" s="16" t="s">
        <v>219</v>
      </c>
      <c r="E84" s="17">
        <f>'3.1. Efnah.'!BK61</f>
        <v>56446.84599999999</v>
      </c>
      <c r="G84" s="157">
        <f>'3.2. Yfirlit'!BK$59</f>
        <v>0</v>
      </c>
      <c r="I84" s="20"/>
    </row>
    <row r="85" spans="1:9" ht="13.5" customHeight="1">
      <c r="A85" s="87" t="s">
        <v>319</v>
      </c>
      <c r="C85" s="18" t="s">
        <v>330</v>
      </c>
      <c r="D85" s="16" t="s">
        <v>266</v>
      </c>
      <c r="E85" s="17">
        <f>'3.1. Efnah.'!BL$61</f>
        <v>35233.608</v>
      </c>
      <c r="G85" s="157">
        <f>'3.2. Yfirlit'!BL$59</f>
        <v>35817.644</v>
      </c>
      <c r="I85" s="20">
        <f t="shared" si="3"/>
        <v>-0.01630581843964951</v>
      </c>
    </row>
    <row r="86" spans="1:9" ht="13.5" customHeight="1">
      <c r="A86" s="87" t="s">
        <v>321</v>
      </c>
      <c r="C86" s="18" t="s">
        <v>331</v>
      </c>
      <c r="D86" s="16" t="s">
        <v>301</v>
      </c>
      <c r="E86" s="17">
        <f>'3.1. Efnah.'!BM$61</f>
        <v>10854.395</v>
      </c>
      <c r="G86" s="157">
        <f>'3.2. Yfirlit'!BM$59</f>
        <v>11210.747</v>
      </c>
      <c r="I86" s="20">
        <f t="shared" si="3"/>
        <v>-0.031786641871411336</v>
      </c>
    </row>
    <row r="87" spans="1:9" ht="13.5" customHeight="1">
      <c r="A87" s="87" t="s">
        <v>323</v>
      </c>
      <c r="C87" s="18" t="s">
        <v>332</v>
      </c>
      <c r="D87" s="16" t="s">
        <v>219</v>
      </c>
      <c r="E87" s="17">
        <f>'3.1. Efnah.'!BN$61</f>
        <v>0</v>
      </c>
      <c r="G87" s="157">
        <f>'3.2. Yfirlit'!BN$59</f>
        <v>0</v>
      </c>
      <c r="I87" s="20"/>
    </row>
    <row r="88" spans="1:9" ht="13.5" customHeight="1">
      <c r="A88" s="87" t="s">
        <v>510</v>
      </c>
      <c r="C88" s="18" t="s">
        <v>333</v>
      </c>
      <c r="D88" s="16" t="s">
        <v>219</v>
      </c>
      <c r="E88" s="21">
        <f>'3.1. Efnah.'!BO$61</f>
        <v>0</v>
      </c>
      <c r="G88" s="208">
        <f>'3.2. Yfirlit'!BO$59</f>
        <v>0</v>
      </c>
      <c r="I88" s="191"/>
    </row>
    <row r="89" spans="1:9" ht="15.75" customHeight="1">
      <c r="A89" s="18"/>
      <c r="C89" s="22" t="s">
        <v>334</v>
      </c>
      <c r="E89" s="17">
        <f>SUM(E7:E88)</f>
        <v>407329003.583</v>
      </c>
      <c r="G89" s="17">
        <f>SUM(G7:G88)</f>
        <v>352690019.68699986</v>
      </c>
      <c r="I89" s="20">
        <f>(E89/G89)-1</f>
        <v>0.15492069762702765</v>
      </c>
    </row>
    <row r="90" ht="12" customHeight="1"/>
    <row r="91" spans="1:9" ht="12.75" customHeight="1">
      <c r="A91" s="87"/>
      <c r="C91" s="22"/>
      <c r="I91" s="20"/>
    </row>
    <row r="92" spans="3:9" ht="12.75" customHeight="1">
      <c r="C92" s="22"/>
      <c r="I92" s="20"/>
    </row>
    <row r="93" spans="3:9" ht="12.75" customHeight="1">
      <c r="C93" s="22"/>
      <c r="I93" s="20"/>
    </row>
    <row r="94" spans="3:9" ht="12.75" customHeight="1">
      <c r="C94" s="22"/>
      <c r="I94" s="20"/>
    </row>
    <row r="95" spans="3:9" ht="12.75" customHeight="1">
      <c r="C95" s="22"/>
      <c r="I95" s="20"/>
    </row>
    <row r="96" spans="3:9" ht="12.75" customHeight="1">
      <c r="C96" s="22"/>
      <c r="I96" s="20"/>
    </row>
    <row r="97" spans="3:9" ht="12.75" customHeight="1">
      <c r="C97" s="22"/>
      <c r="I97" s="20"/>
    </row>
    <row r="98" spans="3:9" ht="12.75" customHeight="1">
      <c r="C98" s="22"/>
      <c r="I98" s="20"/>
    </row>
    <row r="99" spans="3:9" ht="12.75" customHeight="1">
      <c r="C99" s="22"/>
      <c r="I99" s="20"/>
    </row>
    <row r="100" spans="3:9" ht="12.75" customHeight="1">
      <c r="C100" s="22"/>
      <c r="I100" s="20"/>
    </row>
    <row r="101" spans="3:9" ht="12.75" customHeight="1">
      <c r="C101" s="22"/>
      <c r="I101" s="20"/>
    </row>
    <row r="105" spans="3:9" ht="12.75" customHeight="1">
      <c r="C105" s="22"/>
      <c r="I105" s="20"/>
    </row>
    <row r="106" ht="12.75">
      <c r="C106"/>
    </row>
    <row r="107" ht="12.75">
      <c r="C107"/>
    </row>
    <row r="108" ht="12.75">
      <c r="C108"/>
    </row>
    <row r="109" spans="3:9" ht="12.75" customHeight="1">
      <c r="C109" s="19" t="s">
        <v>284</v>
      </c>
      <c r="I109" s="20"/>
    </row>
    <row r="110" spans="3:9" ht="12.75" customHeight="1">
      <c r="C110" s="94" t="s">
        <v>591</v>
      </c>
      <c r="I110" s="20"/>
    </row>
    <row r="111" spans="3:9" ht="12.75" customHeight="1">
      <c r="C111" s="94" t="s">
        <v>567</v>
      </c>
      <c r="I111" s="20"/>
    </row>
    <row r="112" ht="12.75">
      <c r="C112" s="18" t="s">
        <v>165</v>
      </c>
    </row>
  </sheetData>
  <sheetProtection/>
  <printOptions/>
  <pageMargins left="0.5511811023622047" right="0.5511811023622047" top="1.1811023622047245" bottom="0.3937007874015748" header="0.7086614173228347" footer="0.5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Ásta Þórarinsdóttir</dc:creator>
  <cp:keywords/>
  <dc:description/>
  <cp:lastModifiedBy>Arnar Jón Sigurgeirsson</cp:lastModifiedBy>
  <cp:lastPrinted>1999-12-09T15:53:55Z</cp:lastPrinted>
  <dcterms:created xsi:type="dcterms:W3CDTF">1998-02-16T11:29:36Z</dcterms:created>
  <dcterms:modified xsi:type="dcterms:W3CDTF">2012-03-16T14:34:54Z</dcterms:modified>
  <cp:category/>
  <cp:version/>
  <cp:contentType/>
  <cp:contentStatus/>
</cp:coreProperties>
</file>